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PQCU" sheetId="1" r:id="rId1"/>
    <sheet name="PCCU" sheetId="2" r:id="rId2"/>
    <sheet name="Cronograma Descritivo" sheetId="3" r:id="rId3"/>
    <sheet name="Cronograma FF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0" i="4" l="1"/>
  <c r="R90" i="4"/>
  <c r="V89" i="4"/>
  <c r="L89" i="4"/>
  <c r="G89" i="4"/>
  <c r="K89" i="4" s="1"/>
  <c r="V88" i="4"/>
  <c r="L88" i="4"/>
  <c r="G88" i="4"/>
  <c r="K88" i="4" s="1"/>
  <c r="V87" i="4"/>
  <c r="M87" i="4"/>
  <c r="P87" i="4" s="1"/>
  <c r="W87" i="4" s="1"/>
  <c r="L87" i="4"/>
  <c r="K87" i="4"/>
  <c r="I87" i="4"/>
  <c r="V86" i="4"/>
  <c r="L86" i="4"/>
  <c r="K86" i="4"/>
  <c r="I86" i="4"/>
  <c r="M86" i="4" s="1"/>
  <c r="P86" i="4" s="1"/>
  <c r="W86" i="4" s="1"/>
  <c r="V85" i="4"/>
  <c r="L85" i="4"/>
  <c r="K85" i="4"/>
  <c r="I85" i="4"/>
  <c r="M85" i="4" s="1"/>
  <c r="P85" i="4" s="1"/>
  <c r="W85" i="4" s="1"/>
  <c r="V84" i="4"/>
  <c r="L84" i="4"/>
  <c r="K84" i="4"/>
  <c r="I84" i="4"/>
  <c r="M84" i="4" s="1"/>
  <c r="P84" i="4" s="1"/>
  <c r="W84" i="4" s="1"/>
  <c r="V83" i="4"/>
  <c r="M83" i="4"/>
  <c r="P83" i="4" s="1"/>
  <c r="L83" i="4"/>
  <c r="K83" i="4"/>
  <c r="I83" i="4"/>
  <c r="T78" i="4"/>
  <c r="R78" i="4"/>
  <c r="V77" i="4"/>
  <c r="L77" i="4"/>
  <c r="K77" i="4"/>
  <c r="I77" i="4"/>
  <c r="M77" i="4" s="1"/>
  <c r="P77" i="4" s="1"/>
  <c r="W77" i="4" s="1"/>
  <c r="V76" i="4"/>
  <c r="M76" i="4"/>
  <c r="P76" i="4" s="1"/>
  <c r="W76" i="4" s="1"/>
  <c r="L76" i="4"/>
  <c r="K76" i="4"/>
  <c r="I76" i="4"/>
  <c r="V75" i="4"/>
  <c r="M75" i="4"/>
  <c r="M78" i="4" s="1"/>
  <c r="L75" i="4"/>
  <c r="K75" i="4"/>
  <c r="I75" i="4"/>
  <c r="V69" i="4"/>
  <c r="L69" i="4"/>
  <c r="K69" i="4"/>
  <c r="I69" i="4"/>
  <c r="M69" i="4" s="1"/>
  <c r="T69" i="4" s="1"/>
  <c r="W69" i="4" s="1"/>
  <c r="V68" i="4"/>
  <c r="L68" i="4"/>
  <c r="K68" i="4"/>
  <c r="I68" i="4"/>
  <c r="M68" i="4" s="1"/>
  <c r="T68" i="4" s="1"/>
  <c r="W68" i="4" s="1"/>
  <c r="V67" i="4"/>
  <c r="L67" i="4"/>
  <c r="K67" i="4"/>
  <c r="I67" i="4"/>
  <c r="M67" i="4" s="1"/>
  <c r="T67" i="4" s="1"/>
  <c r="W67" i="4" s="1"/>
  <c r="G67" i="4"/>
  <c r="V66" i="4"/>
  <c r="L66" i="4"/>
  <c r="K66" i="4"/>
  <c r="I66" i="4"/>
  <c r="M66" i="4" s="1"/>
  <c r="T66" i="4" s="1"/>
  <c r="W66" i="4" s="1"/>
  <c r="V65" i="4"/>
  <c r="T65" i="4"/>
  <c r="W65" i="4" s="1"/>
  <c r="L65" i="4"/>
  <c r="K65" i="4"/>
  <c r="I65" i="4"/>
  <c r="M65" i="4" s="1"/>
  <c r="G65" i="4"/>
  <c r="V64" i="4"/>
  <c r="L64" i="4"/>
  <c r="K64" i="4"/>
  <c r="I64" i="4"/>
  <c r="M64" i="4" s="1"/>
  <c r="T64" i="4" s="1"/>
  <c r="V63" i="4"/>
  <c r="L63" i="4"/>
  <c r="G63" i="4"/>
  <c r="V62" i="4"/>
  <c r="L62" i="4"/>
  <c r="G62" i="4"/>
  <c r="V61" i="4"/>
  <c r="L61" i="4"/>
  <c r="G61" i="4"/>
  <c r="V60" i="4"/>
  <c r="M60" i="4"/>
  <c r="R60" i="4" s="1"/>
  <c r="W60" i="4" s="1"/>
  <c r="L60" i="4"/>
  <c r="K60" i="4"/>
  <c r="I60" i="4"/>
  <c r="V59" i="4"/>
  <c r="L59" i="4"/>
  <c r="G59" i="4"/>
  <c r="K59" i="4" s="1"/>
  <c r="V58" i="4"/>
  <c r="M58" i="4"/>
  <c r="R58" i="4" s="1"/>
  <c r="W58" i="4" s="1"/>
  <c r="L58" i="4"/>
  <c r="K58" i="4"/>
  <c r="I58" i="4"/>
  <c r="V57" i="4"/>
  <c r="L57" i="4"/>
  <c r="G57" i="4"/>
  <c r="K57" i="4" s="1"/>
  <c r="V56" i="4"/>
  <c r="L56" i="4"/>
  <c r="G56" i="4"/>
  <c r="K56" i="4" s="1"/>
  <c r="V55" i="4"/>
  <c r="L55" i="4"/>
  <c r="G55" i="4"/>
  <c r="K55" i="4" s="1"/>
  <c r="V54" i="4"/>
  <c r="L54" i="4"/>
  <c r="K54" i="4"/>
  <c r="I54" i="4"/>
  <c r="M54" i="4" s="1"/>
  <c r="P54" i="4" s="1"/>
  <c r="W54" i="4" s="1"/>
  <c r="V53" i="4"/>
  <c r="L53" i="4"/>
  <c r="K53" i="4"/>
  <c r="I53" i="4"/>
  <c r="M53" i="4" s="1"/>
  <c r="P53" i="4" s="1"/>
  <c r="W53" i="4" s="1"/>
  <c r="G53" i="4"/>
  <c r="V52" i="4"/>
  <c r="L52" i="4"/>
  <c r="K52" i="4"/>
  <c r="I52" i="4"/>
  <c r="M52" i="4" s="1"/>
  <c r="P52" i="4" s="1"/>
  <c r="W52" i="4" s="1"/>
  <c r="G52" i="4"/>
  <c r="V51" i="4"/>
  <c r="L51" i="4"/>
  <c r="K51" i="4"/>
  <c r="G51" i="4"/>
  <c r="I51" i="4" s="1"/>
  <c r="M51" i="4" s="1"/>
  <c r="P51" i="4" s="1"/>
  <c r="W51" i="4" s="1"/>
  <c r="V50" i="4"/>
  <c r="L50" i="4"/>
  <c r="K50" i="4"/>
  <c r="I50" i="4"/>
  <c r="M50" i="4" s="1"/>
  <c r="P50" i="4" s="1"/>
  <c r="W50" i="4" s="1"/>
  <c r="G50" i="4"/>
  <c r="V49" i="4"/>
  <c r="L49" i="4"/>
  <c r="K49" i="4"/>
  <c r="I49" i="4"/>
  <c r="M49" i="4" s="1"/>
  <c r="G49" i="4"/>
  <c r="P45" i="4"/>
  <c r="W44" i="4"/>
  <c r="V44" i="4"/>
  <c r="V43" i="4"/>
  <c r="L43" i="4"/>
  <c r="L45" i="4" s="1"/>
  <c r="G43" i="4"/>
  <c r="K43" i="4" s="1"/>
  <c r="K45" i="4" s="1"/>
  <c r="P39" i="4"/>
  <c r="V38" i="4"/>
  <c r="L38" i="4"/>
  <c r="K38" i="4"/>
  <c r="I38" i="4"/>
  <c r="M38" i="4" s="1"/>
  <c r="T38" i="4" s="1"/>
  <c r="W38" i="4" s="1"/>
  <c r="V37" i="4"/>
  <c r="M37" i="4"/>
  <c r="T37" i="4" s="1"/>
  <c r="W37" i="4" s="1"/>
  <c r="L37" i="4"/>
  <c r="K37" i="4"/>
  <c r="I37" i="4"/>
  <c r="V36" i="4"/>
  <c r="M36" i="4"/>
  <c r="L36" i="4"/>
  <c r="L39" i="4" s="1"/>
  <c r="K36" i="4"/>
  <c r="I36" i="4"/>
  <c r="V30" i="4"/>
  <c r="L30" i="4"/>
  <c r="K30" i="4"/>
  <c r="I30" i="4"/>
  <c r="M30" i="4" s="1"/>
  <c r="R30" i="4" s="1"/>
  <c r="V29" i="4"/>
  <c r="T29" i="4"/>
  <c r="L29" i="4"/>
  <c r="K29" i="4"/>
  <c r="I29" i="4"/>
  <c r="M29" i="4" s="1"/>
  <c r="R29" i="4" s="1"/>
  <c r="V28" i="4"/>
  <c r="P28" i="4"/>
  <c r="L28" i="4"/>
  <c r="L31" i="4" s="1"/>
  <c r="K28" i="4"/>
  <c r="I28" i="4"/>
  <c r="M28" i="4" s="1"/>
  <c r="T23" i="4"/>
  <c r="V22" i="4"/>
  <c r="L22" i="4"/>
  <c r="K22" i="4"/>
  <c r="I22" i="4"/>
  <c r="M22" i="4" s="1"/>
  <c r="P22" i="4" s="1"/>
  <c r="W22" i="4" s="1"/>
  <c r="V21" i="4"/>
  <c r="L21" i="4"/>
  <c r="K21" i="4"/>
  <c r="I21" i="4"/>
  <c r="M21" i="4" s="1"/>
  <c r="P21" i="4" s="1"/>
  <c r="W21" i="4" s="1"/>
  <c r="G21" i="4"/>
  <c r="V20" i="4"/>
  <c r="L20" i="4"/>
  <c r="K20" i="4"/>
  <c r="I20" i="4"/>
  <c r="M20" i="4" s="1"/>
  <c r="P20" i="4" s="1"/>
  <c r="V19" i="4"/>
  <c r="M19" i="4"/>
  <c r="P19" i="4" s="1"/>
  <c r="L19" i="4"/>
  <c r="K19" i="4"/>
  <c r="I19" i="4"/>
  <c r="V18" i="4"/>
  <c r="L18" i="4"/>
  <c r="K18" i="4"/>
  <c r="I18" i="4"/>
  <c r="M18" i="4" s="1"/>
  <c r="M23" i="4" s="1"/>
  <c r="G18" i="4"/>
  <c r="T13" i="4"/>
  <c r="V12" i="4"/>
  <c r="L12" i="4"/>
  <c r="K12" i="4"/>
  <c r="I12" i="4"/>
  <c r="M12" i="4" s="1"/>
  <c r="V11" i="4"/>
  <c r="M11" i="4"/>
  <c r="L11" i="4"/>
  <c r="K11" i="4"/>
  <c r="K13" i="4" s="1"/>
  <c r="I11" i="4"/>
  <c r="V10" i="4"/>
  <c r="M10" i="4"/>
  <c r="L10" i="4"/>
  <c r="L13" i="4" s="1"/>
  <c r="K10" i="4"/>
  <c r="I10" i="4"/>
  <c r="K90" i="4" l="1"/>
  <c r="L90" i="4"/>
  <c r="K78" i="4"/>
  <c r="L78" i="4"/>
  <c r="L70" i="4"/>
  <c r="K39" i="4"/>
  <c r="M31" i="4"/>
  <c r="T30" i="4"/>
  <c r="R19" i="4"/>
  <c r="W19" i="4" s="1"/>
  <c r="L23" i="4"/>
  <c r="P18" i="4"/>
  <c r="P23" i="4" s="1"/>
  <c r="R11" i="4"/>
  <c r="P11" i="4"/>
  <c r="P31" i="4"/>
  <c r="W28" i="4"/>
  <c r="T31" i="4"/>
  <c r="M39" i="4"/>
  <c r="T36" i="4"/>
  <c r="T39" i="4" s="1"/>
  <c r="R36" i="4"/>
  <c r="K61" i="4"/>
  <c r="I61" i="4"/>
  <c r="M61" i="4" s="1"/>
  <c r="R61" i="4" s="1"/>
  <c r="W61" i="4" s="1"/>
  <c r="K62" i="4"/>
  <c r="K70" i="4" s="1"/>
  <c r="I62" i="4"/>
  <c r="M62" i="4" s="1"/>
  <c r="R62" i="4" s="1"/>
  <c r="W62" i="4" s="1"/>
  <c r="K63" i="4"/>
  <c r="I63" i="4"/>
  <c r="M63" i="4" s="1"/>
  <c r="R63" i="4" s="1"/>
  <c r="W63" i="4" s="1"/>
  <c r="M13" i="4"/>
  <c r="P12" i="4"/>
  <c r="R12" i="4"/>
  <c r="K23" i="4"/>
  <c r="K31" i="4"/>
  <c r="R31" i="4"/>
  <c r="W29" i="4"/>
  <c r="P49" i="4"/>
  <c r="W83" i="4"/>
  <c r="R20" i="4"/>
  <c r="W20" i="4" s="1"/>
  <c r="W30" i="4"/>
  <c r="W18" i="4"/>
  <c r="W64" i="4"/>
  <c r="T70" i="4"/>
  <c r="I88" i="4"/>
  <c r="M88" i="4" s="1"/>
  <c r="P88" i="4" s="1"/>
  <c r="W88" i="4" s="1"/>
  <c r="I89" i="4"/>
  <c r="M89" i="4" s="1"/>
  <c r="P89" i="4" s="1"/>
  <c r="W89" i="4" s="1"/>
  <c r="P10" i="4"/>
  <c r="I43" i="4"/>
  <c r="M43" i="4" s="1"/>
  <c r="I55" i="4"/>
  <c r="M55" i="4" s="1"/>
  <c r="P55" i="4" s="1"/>
  <c r="W55" i="4" s="1"/>
  <c r="I56" i="4"/>
  <c r="M56" i="4" s="1"/>
  <c r="P56" i="4" s="1"/>
  <c r="W56" i="4" s="1"/>
  <c r="I57" i="4"/>
  <c r="M57" i="4" s="1"/>
  <c r="I59" i="4"/>
  <c r="M59" i="4" s="1"/>
  <c r="R59" i="4" s="1"/>
  <c r="W59" i="4" s="1"/>
  <c r="P75" i="4"/>
  <c r="M90" i="4"/>
  <c r="T90" i="3"/>
  <c r="R90" i="3"/>
  <c r="V89" i="3"/>
  <c r="L89" i="3"/>
  <c r="G89" i="3"/>
  <c r="K89" i="3" s="1"/>
  <c r="V88" i="3"/>
  <c r="L88" i="3"/>
  <c r="G88" i="3"/>
  <c r="K88" i="3" s="1"/>
  <c r="V87" i="3"/>
  <c r="M87" i="3"/>
  <c r="P87" i="3" s="1"/>
  <c r="W87" i="3" s="1"/>
  <c r="L87" i="3"/>
  <c r="K87" i="3"/>
  <c r="I87" i="3"/>
  <c r="V86" i="3"/>
  <c r="M86" i="3"/>
  <c r="P86" i="3" s="1"/>
  <c r="W86" i="3" s="1"/>
  <c r="L86" i="3"/>
  <c r="K86" i="3"/>
  <c r="I86" i="3"/>
  <c r="V85" i="3"/>
  <c r="L85" i="3"/>
  <c r="K85" i="3"/>
  <c r="K90" i="3" s="1"/>
  <c r="I85" i="3"/>
  <c r="M85" i="3" s="1"/>
  <c r="P85" i="3" s="1"/>
  <c r="W85" i="3" s="1"/>
  <c r="V84" i="3"/>
  <c r="L84" i="3"/>
  <c r="K84" i="3"/>
  <c r="I84" i="3"/>
  <c r="M84" i="3" s="1"/>
  <c r="P84" i="3" s="1"/>
  <c r="W84" i="3" s="1"/>
  <c r="V83" i="3"/>
  <c r="M83" i="3"/>
  <c r="L83" i="3"/>
  <c r="L90" i="3" s="1"/>
  <c r="K83" i="3"/>
  <c r="I83" i="3"/>
  <c r="T78" i="3"/>
  <c r="R78" i="3"/>
  <c r="V77" i="3"/>
  <c r="L77" i="3"/>
  <c r="K77" i="3"/>
  <c r="I77" i="3"/>
  <c r="M77" i="3" s="1"/>
  <c r="P77" i="3" s="1"/>
  <c r="W77" i="3" s="1"/>
  <c r="V76" i="3"/>
  <c r="M76" i="3"/>
  <c r="P76" i="3" s="1"/>
  <c r="W76" i="3" s="1"/>
  <c r="L76" i="3"/>
  <c r="K76" i="3"/>
  <c r="I76" i="3"/>
  <c r="V75" i="3"/>
  <c r="M75" i="3"/>
  <c r="P75" i="3" s="1"/>
  <c r="L75" i="3"/>
  <c r="L78" i="3" s="1"/>
  <c r="K75" i="3"/>
  <c r="K78" i="3" s="1"/>
  <c r="I75" i="3"/>
  <c r="V69" i="3"/>
  <c r="M69" i="3"/>
  <c r="T69" i="3" s="1"/>
  <c r="W69" i="3" s="1"/>
  <c r="L69" i="3"/>
  <c r="K69" i="3"/>
  <c r="I69" i="3"/>
  <c r="V68" i="3"/>
  <c r="M68" i="3"/>
  <c r="T68" i="3" s="1"/>
  <c r="W68" i="3" s="1"/>
  <c r="L68" i="3"/>
  <c r="K68" i="3"/>
  <c r="I68" i="3"/>
  <c r="V67" i="3"/>
  <c r="L67" i="3"/>
  <c r="K67" i="3"/>
  <c r="I67" i="3"/>
  <c r="M67" i="3" s="1"/>
  <c r="T67" i="3" s="1"/>
  <c r="W67" i="3" s="1"/>
  <c r="G67" i="3"/>
  <c r="V66" i="3"/>
  <c r="L66" i="3"/>
  <c r="K66" i="3"/>
  <c r="I66" i="3"/>
  <c r="M66" i="3" s="1"/>
  <c r="T66" i="3" s="1"/>
  <c r="W66" i="3" s="1"/>
  <c r="V65" i="3"/>
  <c r="L65" i="3"/>
  <c r="K65" i="3"/>
  <c r="I65" i="3"/>
  <c r="M65" i="3" s="1"/>
  <c r="T65" i="3" s="1"/>
  <c r="W65" i="3" s="1"/>
  <c r="G65" i="3"/>
  <c r="V64" i="3"/>
  <c r="L64" i="3"/>
  <c r="K64" i="3"/>
  <c r="I64" i="3"/>
  <c r="M64" i="3" s="1"/>
  <c r="T64" i="3" s="1"/>
  <c r="V63" i="3"/>
  <c r="L63" i="3"/>
  <c r="G63" i="3"/>
  <c r="K63" i="3" s="1"/>
  <c r="V62" i="3"/>
  <c r="L62" i="3"/>
  <c r="G62" i="3"/>
  <c r="K62" i="3" s="1"/>
  <c r="V61" i="3"/>
  <c r="L61" i="3"/>
  <c r="G61" i="3"/>
  <c r="K61" i="3" s="1"/>
  <c r="V60" i="3"/>
  <c r="M60" i="3"/>
  <c r="R60" i="3" s="1"/>
  <c r="W60" i="3" s="1"/>
  <c r="L60" i="3"/>
  <c r="K60" i="3"/>
  <c r="I60" i="3"/>
  <c r="V59" i="3"/>
  <c r="L59" i="3"/>
  <c r="G59" i="3"/>
  <c r="K59" i="3" s="1"/>
  <c r="V58" i="3"/>
  <c r="L58" i="3"/>
  <c r="K58" i="3"/>
  <c r="I58" i="3"/>
  <c r="M58" i="3" s="1"/>
  <c r="R58" i="3" s="1"/>
  <c r="W58" i="3" s="1"/>
  <c r="V57" i="3"/>
  <c r="L57" i="3"/>
  <c r="K57" i="3"/>
  <c r="I57" i="3"/>
  <c r="M57" i="3" s="1"/>
  <c r="G57" i="3"/>
  <c r="V56" i="3"/>
  <c r="L56" i="3"/>
  <c r="K56" i="3"/>
  <c r="I56" i="3"/>
  <c r="M56" i="3" s="1"/>
  <c r="P56" i="3" s="1"/>
  <c r="W56" i="3" s="1"/>
  <c r="G56" i="3"/>
  <c r="V55" i="3"/>
  <c r="L55" i="3"/>
  <c r="K55" i="3"/>
  <c r="I55" i="3"/>
  <c r="M55" i="3" s="1"/>
  <c r="P55" i="3" s="1"/>
  <c r="W55" i="3" s="1"/>
  <c r="G55" i="3"/>
  <c r="V54" i="3"/>
  <c r="L54" i="3"/>
  <c r="K54" i="3"/>
  <c r="I54" i="3"/>
  <c r="M54" i="3" s="1"/>
  <c r="P54" i="3" s="1"/>
  <c r="W54" i="3" s="1"/>
  <c r="V53" i="3"/>
  <c r="L53" i="3"/>
  <c r="K53" i="3"/>
  <c r="I53" i="3"/>
  <c r="M53" i="3" s="1"/>
  <c r="P53" i="3" s="1"/>
  <c r="W53" i="3" s="1"/>
  <c r="G53" i="3"/>
  <c r="V52" i="3"/>
  <c r="L52" i="3"/>
  <c r="K52" i="3"/>
  <c r="I52" i="3"/>
  <c r="M52" i="3" s="1"/>
  <c r="P52" i="3" s="1"/>
  <c r="W52" i="3" s="1"/>
  <c r="G52" i="3"/>
  <c r="V51" i="3"/>
  <c r="L51" i="3"/>
  <c r="K51" i="3"/>
  <c r="I51" i="3"/>
  <c r="M51" i="3" s="1"/>
  <c r="P51" i="3" s="1"/>
  <c r="W51" i="3" s="1"/>
  <c r="G51" i="3"/>
  <c r="V50" i="3"/>
  <c r="L50" i="3"/>
  <c r="K50" i="3"/>
  <c r="I50" i="3"/>
  <c r="M50" i="3" s="1"/>
  <c r="P50" i="3" s="1"/>
  <c r="W50" i="3" s="1"/>
  <c r="G50" i="3"/>
  <c r="V49" i="3"/>
  <c r="L49" i="3"/>
  <c r="L70" i="3" s="1"/>
  <c r="K49" i="3"/>
  <c r="K70" i="3" s="1"/>
  <c r="I49" i="3"/>
  <c r="M49" i="3" s="1"/>
  <c r="G49" i="3"/>
  <c r="P45" i="3"/>
  <c r="K45" i="3"/>
  <c r="W44" i="3"/>
  <c r="V44" i="3"/>
  <c r="V43" i="3"/>
  <c r="L43" i="3"/>
  <c r="L45" i="3" s="1"/>
  <c r="K43" i="3"/>
  <c r="I43" i="3"/>
  <c r="M43" i="3" s="1"/>
  <c r="G43" i="3"/>
  <c r="P39" i="3"/>
  <c r="L39" i="3"/>
  <c r="V38" i="3"/>
  <c r="L38" i="3"/>
  <c r="K38" i="3"/>
  <c r="I38" i="3"/>
  <c r="M38" i="3" s="1"/>
  <c r="T38" i="3" s="1"/>
  <c r="W38" i="3" s="1"/>
  <c r="V37" i="3"/>
  <c r="M37" i="3"/>
  <c r="T37" i="3" s="1"/>
  <c r="W37" i="3" s="1"/>
  <c r="L37" i="3"/>
  <c r="K37" i="3"/>
  <c r="I37" i="3"/>
  <c r="V36" i="3"/>
  <c r="M36" i="3"/>
  <c r="T36" i="3" s="1"/>
  <c r="T39" i="3" s="1"/>
  <c r="L36" i="3"/>
  <c r="K36" i="3"/>
  <c r="K39" i="3" s="1"/>
  <c r="I36" i="3"/>
  <c r="L31" i="3"/>
  <c r="V30" i="3"/>
  <c r="L30" i="3"/>
  <c r="K30" i="3"/>
  <c r="I30" i="3"/>
  <c r="M30" i="3" s="1"/>
  <c r="V29" i="3"/>
  <c r="L29" i="3"/>
  <c r="K29" i="3"/>
  <c r="I29" i="3"/>
  <c r="M29" i="3" s="1"/>
  <c r="V28" i="3"/>
  <c r="L28" i="3"/>
  <c r="K28" i="3"/>
  <c r="K31" i="3" s="1"/>
  <c r="I28" i="3"/>
  <c r="M28" i="3" s="1"/>
  <c r="T23" i="3"/>
  <c r="V22" i="3"/>
  <c r="L22" i="3"/>
  <c r="K22" i="3"/>
  <c r="I22" i="3"/>
  <c r="M22" i="3" s="1"/>
  <c r="P22" i="3" s="1"/>
  <c r="W22" i="3" s="1"/>
  <c r="V21" i="3"/>
  <c r="L21" i="3"/>
  <c r="I21" i="3"/>
  <c r="M21" i="3" s="1"/>
  <c r="P21" i="3" s="1"/>
  <c r="W21" i="3" s="1"/>
  <c r="G21" i="3"/>
  <c r="K21" i="3" s="1"/>
  <c r="V20" i="3"/>
  <c r="L20" i="3"/>
  <c r="K20" i="3"/>
  <c r="I20" i="3"/>
  <c r="M20" i="3" s="1"/>
  <c r="V19" i="3"/>
  <c r="L19" i="3"/>
  <c r="K19" i="3"/>
  <c r="I19" i="3"/>
  <c r="M19" i="3" s="1"/>
  <c r="V18" i="3"/>
  <c r="L18" i="3"/>
  <c r="L23" i="3" s="1"/>
  <c r="K18" i="3"/>
  <c r="K23" i="3" s="1"/>
  <c r="I18" i="3"/>
  <c r="M18" i="3" s="1"/>
  <c r="G18" i="3"/>
  <c r="T13" i="3"/>
  <c r="V12" i="3"/>
  <c r="M12" i="3"/>
  <c r="R12" i="3" s="1"/>
  <c r="L12" i="3"/>
  <c r="K12" i="3"/>
  <c r="I12" i="3"/>
  <c r="V11" i="3"/>
  <c r="M11" i="3"/>
  <c r="R11" i="3" s="1"/>
  <c r="L11" i="3"/>
  <c r="K11" i="3"/>
  <c r="I11" i="3"/>
  <c r="V10" i="3"/>
  <c r="M10" i="3"/>
  <c r="M13" i="3" s="1"/>
  <c r="L10" i="3"/>
  <c r="L13" i="3" s="1"/>
  <c r="K10" i="3"/>
  <c r="K13" i="3" s="1"/>
  <c r="I10" i="3"/>
  <c r="R57" i="4" l="1"/>
  <c r="R70" i="4" s="1"/>
  <c r="P57" i="4"/>
  <c r="W57" i="4" s="1"/>
  <c r="W10" i="4"/>
  <c r="P13" i="4"/>
  <c r="W49" i="4"/>
  <c r="R23" i="4"/>
  <c r="R13" i="4"/>
  <c r="P78" i="4"/>
  <c r="W75" i="4"/>
  <c r="P90" i="4"/>
  <c r="T43" i="4"/>
  <c r="T45" i="4" s="1"/>
  <c r="M45" i="4"/>
  <c r="R43" i="4"/>
  <c r="M70" i="4"/>
  <c r="W12" i="4"/>
  <c r="R39" i="4"/>
  <c r="W36" i="4"/>
  <c r="W11" i="4"/>
  <c r="P28" i="3"/>
  <c r="M31" i="3"/>
  <c r="R29" i="3"/>
  <c r="T29" i="3"/>
  <c r="R30" i="3"/>
  <c r="T30" i="3"/>
  <c r="R13" i="3"/>
  <c r="T43" i="3"/>
  <c r="T45" i="3" s="1"/>
  <c r="M45" i="3"/>
  <c r="R43" i="3"/>
  <c r="R57" i="3"/>
  <c r="P57" i="3"/>
  <c r="W57" i="3" s="1"/>
  <c r="W75" i="3"/>
  <c r="P78" i="3"/>
  <c r="P18" i="3"/>
  <c r="M23" i="3"/>
  <c r="P19" i="3"/>
  <c r="R19" i="3"/>
  <c r="P20" i="3"/>
  <c r="R20" i="3"/>
  <c r="P49" i="3"/>
  <c r="W64" i="3"/>
  <c r="T70" i="3"/>
  <c r="P11" i="3"/>
  <c r="W11" i="3" s="1"/>
  <c r="R36" i="3"/>
  <c r="M39" i="3"/>
  <c r="I61" i="3"/>
  <c r="M61" i="3" s="1"/>
  <c r="R61" i="3" s="1"/>
  <c r="W61" i="3" s="1"/>
  <c r="I62" i="3"/>
  <c r="M62" i="3" s="1"/>
  <c r="R62" i="3" s="1"/>
  <c r="W62" i="3" s="1"/>
  <c r="I63" i="3"/>
  <c r="M63" i="3" s="1"/>
  <c r="R63" i="3" s="1"/>
  <c r="W63" i="3" s="1"/>
  <c r="M78" i="3"/>
  <c r="P83" i="3"/>
  <c r="I88" i="3"/>
  <c r="M88" i="3" s="1"/>
  <c r="P88" i="3" s="1"/>
  <c r="W88" i="3" s="1"/>
  <c r="I89" i="3"/>
  <c r="M89" i="3" s="1"/>
  <c r="P89" i="3" s="1"/>
  <c r="W89" i="3" s="1"/>
  <c r="P12" i="3"/>
  <c r="W12" i="3" s="1"/>
  <c r="P10" i="3"/>
  <c r="I59" i="3"/>
  <c r="M59" i="3" s="1"/>
  <c r="R59" i="3" s="1"/>
  <c r="W59" i="3" s="1"/>
  <c r="S94" i="1"/>
  <c r="Q94" i="1"/>
  <c r="O94" i="1"/>
  <c r="S92" i="1"/>
  <c r="Q92" i="1"/>
  <c r="O92" i="1"/>
  <c r="T92" i="1"/>
  <c r="R92" i="1"/>
  <c r="P92" i="1"/>
  <c r="P94" i="1" s="1"/>
  <c r="T90" i="1"/>
  <c r="R90" i="1"/>
  <c r="P90" i="1"/>
  <c r="T78" i="1"/>
  <c r="R78" i="1"/>
  <c r="P78" i="1"/>
  <c r="T70" i="1"/>
  <c r="R70" i="1"/>
  <c r="P70" i="1"/>
  <c r="T45" i="1"/>
  <c r="R45" i="1"/>
  <c r="P45" i="1"/>
  <c r="M45" i="1"/>
  <c r="T39" i="1"/>
  <c r="R39" i="1"/>
  <c r="P39" i="1"/>
  <c r="T31" i="1"/>
  <c r="R31" i="1"/>
  <c r="P31" i="1"/>
  <c r="T23" i="1"/>
  <c r="R23" i="1"/>
  <c r="P23" i="1"/>
  <c r="T13" i="1"/>
  <c r="R13" i="1"/>
  <c r="P13" i="1"/>
  <c r="P70" i="4" l="1"/>
  <c r="P92" i="4" s="1"/>
  <c r="W43" i="4"/>
  <c r="W92" i="4" s="1"/>
  <c r="R45" i="4"/>
  <c r="R92" i="4" s="1"/>
  <c r="M92" i="4"/>
  <c r="T92" i="4"/>
  <c r="M92" i="3"/>
  <c r="P13" i="3"/>
  <c r="P92" i="3" s="1"/>
  <c r="W10" i="3"/>
  <c r="P90" i="3"/>
  <c r="W83" i="3"/>
  <c r="W20" i="3"/>
  <c r="W18" i="3"/>
  <c r="P23" i="3"/>
  <c r="W30" i="3"/>
  <c r="P31" i="3"/>
  <c r="W28" i="3"/>
  <c r="R39" i="3"/>
  <c r="W36" i="3"/>
  <c r="M70" i="3"/>
  <c r="R23" i="3"/>
  <c r="R92" i="3" s="1"/>
  <c r="M90" i="3"/>
  <c r="R70" i="3"/>
  <c r="T31" i="3"/>
  <c r="T92" i="3"/>
  <c r="P70" i="3"/>
  <c r="W49" i="3"/>
  <c r="W19" i="3"/>
  <c r="W43" i="3"/>
  <c r="R45" i="3"/>
  <c r="R31" i="3"/>
  <c r="W29" i="3"/>
  <c r="R94" i="1"/>
  <c r="P94" i="4" l="1"/>
  <c r="O94" i="4" s="1"/>
  <c r="O92" i="4"/>
  <c r="Q92" i="4"/>
  <c r="S92" i="4"/>
  <c r="P94" i="3"/>
  <c r="O94" i="3" s="1"/>
  <c r="O92" i="3"/>
  <c r="Q92" i="3"/>
  <c r="S92" i="3"/>
  <c r="W92" i="3"/>
  <c r="T94" i="1"/>
  <c r="R94" i="4" l="1"/>
  <c r="Q94" i="4" s="1"/>
  <c r="T94" i="4"/>
  <c r="S94" i="4" s="1"/>
  <c r="R94" i="3"/>
  <c r="G89" i="1"/>
  <c r="G88" i="1"/>
  <c r="I86" i="1"/>
  <c r="M86" i="1" s="1"/>
  <c r="I85" i="1"/>
  <c r="M85" i="1" s="1"/>
  <c r="I84" i="1"/>
  <c r="M84" i="1" s="1"/>
  <c r="I83" i="1"/>
  <c r="M83" i="1" s="1"/>
  <c r="I77" i="1"/>
  <c r="I76" i="1"/>
  <c r="M76" i="1" s="1"/>
  <c r="M78" i="1" s="1"/>
  <c r="I75" i="1"/>
  <c r="L69" i="1"/>
  <c r="K69" i="1"/>
  <c r="I69" i="1"/>
  <c r="M69" i="1" s="1"/>
  <c r="L68" i="1"/>
  <c r="K68" i="1"/>
  <c r="I68" i="1"/>
  <c r="M68" i="1" s="1"/>
  <c r="T68" i="1" s="1"/>
  <c r="W68" i="1" s="1"/>
  <c r="V68" i="1"/>
  <c r="G67" i="1"/>
  <c r="K67" i="1" s="1"/>
  <c r="G65" i="1"/>
  <c r="K65" i="1" s="1"/>
  <c r="G63" i="1"/>
  <c r="G62" i="1"/>
  <c r="K62" i="1" s="1"/>
  <c r="G61" i="1"/>
  <c r="G59" i="1"/>
  <c r="I59" i="1" s="1"/>
  <c r="M59" i="1" s="1"/>
  <c r="G57" i="1"/>
  <c r="K57" i="1" s="1"/>
  <c r="G56" i="1"/>
  <c r="G55" i="1"/>
  <c r="K55" i="1" s="1"/>
  <c r="G53" i="1"/>
  <c r="K53" i="1" s="1"/>
  <c r="G52" i="1"/>
  <c r="I52" i="1" s="1"/>
  <c r="M52" i="1" s="1"/>
  <c r="G51" i="1"/>
  <c r="K51" i="1" s="1"/>
  <c r="L89" i="1"/>
  <c r="K89" i="1"/>
  <c r="I89" i="1"/>
  <c r="M89" i="1" s="1"/>
  <c r="L88" i="1"/>
  <c r="K88" i="1"/>
  <c r="I88" i="1"/>
  <c r="M88" i="1" s="1"/>
  <c r="M87" i="1"/>
  <c r="L87" i="1"/>
  <c r="K87" i="1"/>
  <c r="I87" i="1"/>
  <c r="L86" i="1"/>
  <c r="K86" i="1"/>
  <c r="L85" i="1"/>
  <c r="K85" i="1"/>
  <c r="L84" i="1"/>
  <c r="K84" i="1"/>
  <c r="L83" i="1"/>
  <c r="K83" i="1"/>
  <c r="M77" i="1"/>
  <c r="L77" i="1"/>
  <c r="K77" i="1"/>
  <c r="L76" i="1"/>
  <c r="K76" i="1"/>
  <c r="M75" i="1"/>
  <c r="L75" i="1"/>
  <c r="L78" i="1" s="1"/>
  <c r="K75" i="1"/>
  <c r="K78" i="1" s="1"/>
  <c r="L67" i="1"/>
  <c r="L66" i="1"/>
  <c r="K66" i="1"/>
  <c r="I66" i="1"/>
  <c r="M66" i="1" s="1"/>
  <c r="L65" i="1"/>
  <c r="L64" i="1"/>
  <c r="K64" i="1"/>
  <c r="I64" i="1"/>
  <c r="M64" i="1" s="1"/>
  <c r="L63" i="1"/>
  <c r="K63" i="1"/>
  <c r="I63" i="1"/>
  <c r="M63" i="1" s="1"/>
  <c r="L62" i="1"/>
  <c r="L61" i="1"/>
  <c r="K61" i="1"/>
  <c r="I61" i="1"/>
  <c r="M61" i="1" s="1"/>
  <c r="L60" i="1"/>
  <c r="K60" i="1"/>
  <c r="I60" i="1"/>
  <c r="M60" i="1" s="1"/>
  <c r="L59" i="1"/>
  <c r="K59" i="1"/>
  <c r="L58" i="1"/>
  <c r="K58" i="1"/>
  <c r="I58" i="1"/>
  <c r="M58" i="1" s="1"/>
  <c r="L57" i="1"/>
  <c r="L56" i="1"/>
  <c r="K56" i="1"/>
  <c r="I56" i="1"/>
  <c r="M56" i="1" s="1"/>
  <c r="L55" i="1"/>
  <c r="L54" i="1"/>
  <c r="K54" i="1"/>
  <c r="I54" i="1"/>
  <c r="M54" i="1" s="1"/>
  <c r="L53" i="1"/>
  <c r="I53" i="1"/>
  <c r="M53" i="1" s="1"/>
  <c r="L52" i="1"/>
  <c r="K52" i="1"/>
  <c r="L51" i="1"/>
  <c r="L50" i="1"/>
  <c r="K50" i="1"/>
  <c r="I50" i="1"/>
  <c r="M50" i="1" s="1"/>
  <c r="G50" i="1"/>
  <c r="M49" i="1"/>
  <c r="L49" i="1"/>
  <c r="K49" i="1"/>
  <c r="I49" i="1"/>
  <c r="G49" i="1"/>
  <c r="L43" i="1"/>
  <c r="L45" i="1" s="1"/>
  <c r="K43" i="1"/>
  <c r="K45" i="1" s="1"/>
  <c r="I43" i="1"/>
  <c r="M43" i="1" s="1"/>
  <c r="G43" i="1"/>
  <c r="M38" i="1"/>
  <c r="L38" i="1"/>
  <c r="K38" i="1"/>
  <c r="I38" i="1"/>
  <c r="M37" i="1"/>
  <c r="T37" i="1" s="1"/>
  <c r="W37" i="1" s="1"/>
  <c r="L37" i="1"/>
  <c r="K37" i="1"/>
  <c r="I37" i="1"/>
  <c r="V37" i="1"/>
  <c r="L36" i="1"/>
  <c r="K36" i="1"/>
  <c r="K39" i="1" s="1"/>
  <c r="I36" i="1"/>
  <c r="M36" i="1" s="1"/>
  <c r="M39" i="1" s="1"/>
  <c r="L30" i="1"/>
  <c r="K30" i="1"/>
  <c r="I30" i="1"/>
  <c r="M30" i="1" s="1"/>
  <c r="L29" i="1"/>
  <c r="K29" i="1"/>
  <c r="I29" i="1"/>
  <c r="M29" i="1" s="1"/>
  <c r="L28" i="1"/>
  <c r="K28" i="1"/>
  <c r="I28" i="1"/>
  <c r="M28" i="1" s="1"/>
  <c r="L22" i="1"/>
  <c r="K22" i="1"/>
  <c r="I22" i="1"/>
  <c r="M22" i="1" s="1"/>
  <c r="L21" i="1"/>
  <c r="K21" i="1"/>
  <c r="G21" i="1"/>
  <c r="I21" i="1" s="1"/>
  <c r="M21" i="1" s="1"/>
  <c r="L20" i="1"/>
  <c r="K20" i="1"/>
  <c r="I20" i="1"/>
  <c r="M20" i="1" s="1"/>
  <c r="L19" i="1"/>
  <c r="K19" i="1"/>
  <c r="I19" i="1"/>
  <c r="M19" i="1" s="1"/>
  <c r="L18" i="1"/>
  <c r="G18" i="1"/>
  <c r="K18" i="1" s="1"/>
  <c r="M12" i="1"/>
  <c r="L12" i="1"/>
  <c r="K12" i="1"/>
  <c r="I12" i="1"/>
  <c r="M11" i="1"/>
  <c r="M13" i="1" s="1"/>
  <c r="L11" i="1"/>
  <c r="K11" i="1"/>
  <c r="I11" i="1"/>
  <c r="M10" i="1"/>
  <c r="L10" i="1"/>
  <c r="L13" i="1" s="1"/>
  <c r="K10" i="1"/>
  <c r="K13" i="1" s="1"/>
  <c r="I10" i="1"/>
  <c r="Q94" i="3" l="1"/>
  <c r="T94" i="3"/>
  <c r="S94" i="3" s="1"/>
  <c r="K31" i="1"/>
  <c r="L31" i="1"/>
  <c r="L90" i="1"/>
  <c r="K90" i="1"/>
  <c r="M90" i="1"/>
  <c r="M31" i="1"/>
  <c r="L23" i="1"/>
  <c r="L39" i="1"/>
  <c r="I67" i="1"/>
  <c r="M67" i="1" s="1"/>
  <c r="T67" i="1" s="1"/>
  <c r="W67" i="1" s="1"/>
  <c r="I65" i="1"/>
  <c r="M65" i="1" s="1"/>
  <c r="T65" i="1" s="1"/>
  <c r="W65" i="1" s="1"/>
  <c r="I62" i="1"/>
  <c r="M62" i="1" s="1"/>
  <c r="R62" i="1" s="1"/>
  <c r="W62" i="1" s="1"/>
  <c r="I57" i="1"/>
  <c r="M57" i="1" s="1"/>
  <c r="I55" i="1"/>
  <c r="M55" i="1" s="1"/>
  <c r="P55" i="1" s="1"/>
  <c r="W55" i="1" s="1"/>
  <c r="L70" i="1"/>
  <c r="K70" i="1"/>
  <c r="I51" i="1"/>
  <c r="M51" i="1" s="1"/>
  <c r="K23" i="1"/>
  <c r="I18" i="1"/>
  <c r="M18" i="1" s="1"/>
  <c r="M23" i="1" s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R57" i="1"/>
  <c r="P57" i="1"/>
  <c r="P56" i="1"/>
  <c r="W56" i="1" s="1"/>
  <c r="P54" i="1"/>
  <c r="W54" i="1" s="1"/>
  <c r="P53" i="1"/>
  <c r="W53" i="1" s="1"/>
  <c r="P52" i="1"/>
  <c r="W52" i="1" s="1"/>
  <c r="P50" i="1"/>
  <c r="R60" i="1"/>
  <c r="W60" i="1" s="1"/>
  <c r="R59" i="1"/>
  <c r="W59" i="1" s="1"/>
  <c r="R58" i="1"/>
  <c r="W58" i="1" s="1"/>
  <c r="R61" i="1"/>
  <c r="W61" i="1" s="1"/>
  <c r="R63" i="1"/>
  <c r="W63" i="1" s="1"/>
  <c r="T66" i="1"/>
  <c r="W66" i="1" s="1"/>
  <c r="T64" i="1"/>
  <c r="W64" i="1" s="1"/>
  <c r="T69" i="1"/>
  <c r="P49" i="1"/>
  <c r="P76" i="1"/>
  <c r="P77" i="1"/>
  <c r="M70" i="1" l="1"/>
  <c r="P51" i="1"/>
  <c r="W57" i="1"/>
  <c r="T36" i="1"/>
  <c r="T38" i="1"/>
  <c r="P89" i="1" l="1"/>
  <c r="P88" i="1"/>
  <c r="P87" i="1"/>
  <c r="P86" i="1"/>
  <c r="P85" i="1"/>
  <c r="P84" i="1"/>
  <c r="P83" i="1"/>
  <c r="P75" i="1"/>
  <c r="T43" i="1"/>
  <c r="R43" i="1"/>
  <c r="R36" i="1"/>
  <c r="P28" i="1"/>
  <c r="P10" i="1"/>
  <c r="W89" i="1" l="1"/>
  <c r="V89" i="1"/>
  <c r="W88" i="1"/>
  <c r="V88" i="1"/>
  <c r="W87" i="1"/>
  <c r="V87" i="1"/>
  <c r="W86" i="1"/>
  <c r="V86" i="1"/>
  <c r="W85" i="1"/>
  <c r="V85" i="1"/>
  <c r="W84" i="1"/>
  <c r="V84" i="1"/>
  <c r="W83" i="1"/>
  <c r="V83" i="1"/>
  <c r="V77" i="1"/>
  <c r="V76" i="1"/>
  <c r="W75" i="1"/>
  <c r="V75" i="1"/>
  <c r="W69" i="1"/>
  <c r="V69" i="1"/>
  <c r="W51" i="1"/>
  <c r="V51" i="1"/>
  <c r="W50" i="1"/>
  <c r="V50" i="1"/>
  <c r="W49" i="1"/>
  <c r="V49" i="1"/>
  <c r="W44" i="1"/>
  <c r="V44" i="1"/>
  <c r="W43" i="1"/>
  <c r="V43" i="1"/>
  <c r="W38" i="1"/>
  <c r="V38" i="1"/>
  <c r="W36" i="1"/>
  <c r="V36" i="1"/>
  <c r="V30" i="1"/>
  <c r="V29" i="1"/>
  <c r="W28" i="1"/>
  <c r="V28" i="1"/>
  <c r="V22" i="1"/>
  <c r="V21" i="1"/>
  <c r="V20" i="1"/>
  <c r="V19" i="1"/>
  <c r="V18" i="1"/>
  <c r="V12" i="1"/>
  <c r="V11" i="1"/>
  <c r="W10" i="1"/>
  <c r="V10" i="1"/>
  <c r="W77" i="1" l="1"/>
  <c r="W76" i="1" l="1"/>
  <c r="R30" i="1" l="1"/>
  <c r="T30" i="1"/>
  <c r="T29" i="1"/>
  <c r="R29" i="1"/>
  <c r="W29" i="1" s="1"/>
  <c r="W30" i="1" l="1"/>
  <c r="P22" i="1"/>
  <c r="W22" i="1" s="1"/>
  <c r="P21" i="1"/>
  <c r="W21" i="1" s="1"/>
  <c r="P18" i="1"/>
  <c r="W18" i="1" s="1"/>
  <c r="R19" i="1" l="1"/>
  <c r="P19" i="1"/>
  <c r="R11" i="1"/>
  <c r="P11" i="1"/>
  <c r="W11" i="1" s="1"/>
  <c r="R20" i="1"/>
  <c r="P20" i="1"/>
  <c r="R12" i="1"/>
  <c r="P12" i="1"/>
  <c r="W12" i="1" l="1"/>
  <c r="W20" i="1"/>
  <c r="W19" i="1"/>
  <c r="W92" i="1" s="1"/>
  <c r="M92" i="1"/>
</calcChain>
</file>

<file path=xl/sharedStrings.xml><?xml version="1.0" encoding="utf-8"?>
<sst xmlns="http://schemas.openxmlformats.org/spreadsheetml/2006/main" count="1128" uniqueCount="154">
  <si>
    <t>1 - CANTEIRO DE OBRA</t>
  </si>
  <si>
    <t>LISTA</t>
  </si>
  <si>
    <t>ITEM</t>
  </si>
  <si>
    <t>CÓDIGO</t>
  </si>
  <si>
    <t>MATERIAL/SERVIÇO</t>
  </si>
  <si>
    <t>QTDE.</t>
  </si>
  <si>
    <t>UN</t>
  </si>
  <si>
    <t>SINAPI</t>
  </si>
  <si>
    <t>1.1</t>
  </si>
  <si>
    <t>1.2</t>
  </si>
  <si>
    <t>1.3</t>
  </si>
  <si>
    <t>1.4</t>
  </si>
  <si>
    <t>1.5</t>
  </si>
  <si>
    <t>Gerenciamento de Obra</t>
  </si>
  <si>
    <t>CREA</t>
  </si>
  <si>
    <t>-</t>
  </si>
  <si>
    <t>ART EXECUÇÃO</t>
  </si>
  <si>
    <t>Eng. Civil acompanhamento de obra / Horas por dia = 4h / Dia do mês = 5 dias / Total de horas = 20 horas</t>
  </si>
  <si>
    <t>Encarregado Geral - Mestre de Obra / Horas por dia = 8h / Dia do mês = 5 dias / Total de horas = 40 horas</t>
  </si>
  <si>
    <r>
      <rPr>
        <sz val="11"/>
        <rFont val="Calibri"/>
        <family val="2"/>
        <scheme val="minor"/>
      </rPr>
      <t>PLACA DE OBRA EM CHAPA DE ACO GALVANIZADO</t>
    </r>
  </si>
  <si>
    <r>
      <rPr>
        <sz val="11"/>
        <rFont val="Calibri"/>
        <family val="2"/>
        <scheme val="minor"/>
      </rPr>
      <t>M2</t>
    </r>
  </si>
  <si>
    <r>
      <rPr>
        <sz val="11"/>
        <rFont val="Calibri"/>
        <family val="2"/>
        <scheme val="minor"/>
      </rPr>
      <t>MES</t>
    </r>
  </si>
  <si>
    <r>
      <rPr>
        <sz val="11"/>
        <rFont val="Calibri"/>
        <family val="2"/>
        <scheme val="minor"/>
      </rPr>
      <t>TAPUME COM TELHA METÁLICA. AF_05/2018</t>
    </r>
  </si>
  <si>
    <r>
      <rPr>
        <sz val="11"/>
        <rFont val="Calibri"/>
        <family val="2"/>
        <scheme val="minor"/>
      </rPr>
      <t>LOCACAO CONVENCIONAL DE OBRA, ATRAVÉS DE GABARITO DE TABUAS CORRIDAS PONTALETADAS, COM REAPROVEITAMENTO DE 10 VEZES.</t>
    </r>
  </si>
  <si>
    <t>1º Mês</t>
  </si>
  <si>
    <t>2º Mês</t>
  </si>
  <si>
    <t>%</t>
  </si>
  <si>
    <t>R$</t>
  </si>
  <si>
    <t>C. UNIT. MAT.</t>
  </si>
  <si>
    <t>C. UNIT. MO.</t>
  </si>
  <si>
    <t>C. UNIT. TOTAL</t>
  </si>
  <si>
    <t>BDI (%)</t>
  </si>
  <si>
    <t>PREÇO UNIT. MAT.</t>
  </si>
  <si>
    <t>PREÇO UNIT. MO.</t>
  </si>
  <si>
    <t>PREÇO TOTAL</t>
  </si>
  <si>
    <t>SUBTOTAL</t>
  </si>
  <si>
    <t>3º Mês</t>
  </si>
  <si>
    <t>TOTAL</t>
  </si>
  <si>
    <t>Gerenciamento de OBRAS CIVIS</t>
  </si>
  <si>
    <t>KG</t>
  </si>
  <si>
    <t>M</t>
  </si>
  <si>
    <t>M2</t>
  </si>
  <si>
    <t>M3</t>
  </si>
  <si>
    <t>1.6</t>
  </si>
  <si>
    <t>1.7</t>
  </si>
  <si>
    <t>GUINDASTE HIDRÁULICO AUTOPROPELIDO, COM LANÇA TELESCÓPICA 40 M, CAPACIDADE MÁXIMA 60 T, POTÊNCIA 260 KW - MATERIAIS NA OPERAÇÃO. AF_03/2016</t>
  </si>
  <si>
    <t>H</t>
  </si>
  <si>
    <t>3.1</t>
  </si>
  <si>
    <t>Gerenciamento de Obra SPDA</t>
  </si>
  <si>
    <t>1 - SISTEMA DE PROTEÇÃO CONTRA DESCARGAS ATMOSFÉRICAS</t>
  </si>
  <si>
    <t>CABO DE COBRE NU 35MM2 - FORNECIMENTO E INSTALACAO</t>
  </si>
  <si>
    <t>CABO DE COBRE NU 50MM2 - FORNECIMENTO E INSTALACAO</t>
  </si>
  <si>
    <t>TERMINAL OU CONECTOR DE PRESSAO - PARA CABO 35MM2 - FORNECIMENTO E INSTALACAO</t>
  </si>
  <si>
    <t>PARAFUSO, AUTO ATARRACHANTE, CABECA CHATA, FENDA SIMPLES, 1/4 (6,35 MM) X 25 MM</t>
  </si>
  <si>
    <t>ESCAVAÇÃO MANUAL DE VALA COM PROFUNDIDADE MENOR OU IGUAL A 1,30 M. AF_03/2016</t>
  </si>
  <si>
    <t>REATERRO MANUAL APILOADO COM SOQUETE. AF_10/2017</t>
  </si>
  <si>
    <t>Cronograma Físico-financeiro - CORUMBA - MS</t>
  </si>
  <si>
    <t>PLANILHA DE QUANTITATIVOS E CUSTOS UNITÁRIOS (PQCU) - CORUMBA - MS</t>
  </si>
  <si>
    <t>GERENCIAMENTO DE OBRA  - CANTEIRO - CORUMBA - MS</t>
  </si>
  <si>
    <t>QUANTITATIVO MATERIAL CANTEIRO DE OBRA - CORUMBA - MS</t>
  </si>
  <si>
    <t>GERENCIAMENTO DE OBRA  - FOTOVOLTAICO - CORUMBA - MS</t>
  </si>
  <si>
    <t>QUANTITATIVO MATERIAL OBRAS CIVIS - CORUMBA - MS</t>
  </si>
  <si>
    <t>GERENCIAMENTO DE OBRA  - SPDA - CORUMBA - MS</t>
  </si>
  <si>
    <t>QUANTITATIVO MATERIAL SPDA - CORUMBA - MS</t>
  </si>
  <si>
    <t>1 - ESTRUTURA E FUNDAÇÃO</t>
  </si>
  <si>
    <t>FABRICAÇÃO E MONTAGEM DE ESTRUTURA DE CONCRETO PRÉ FABRICADO, INCLUSIVE PROJETO, NA CIDADE DE CORUMBÁ - MS (CONFORME ESPECIFICAÇÕES DE PRÉ-PROJETO APRESENTADO)</t>
  </si>
  <si>
    <t>2 - PAVIMENTAÇÃO</t>
  </si>
  <si>
    <t>3 - MURO E ENTRADA DE VEÍCULOS</t>
  </si>
  <si>
    <t>4.1</t>
  </si>
  <si>
    <t>ESCAVAÇÃO MANUAL DE VALA PARA VIGA BALDRAME, COM PREVISÃO DE FÔRMA. AF_06/2017</t>
  </si>
  <si>
    <t>4.2</t>
  </si>
  <si>
    <t>IMPERMEABILIZACAO DE ESTRUTURAS ENTERRADAS, COM TINTA ASFALTICA, DUAS DEMAOS.</t>
  </si>
  <si>
    <t>4.3</t>
  </si>
  <si>
    <t>4.4</t>
  </si>
  <si>
    <t>FABRICAÇÃO, MONTAGEM E DESMONTAGEM DE FÔRMA PARA VIGA BALDRAME, EM MADEIRA SERRADA, E=25 MM, 4 UTILIZAÇÕES. AF_06/2017</t>
  </si>
  <si>
    <t>4.5</t>
  </si>
  <si>
    <t>FABRICAÇÃO, MONTAGEM E DESMONTAGEM DE FÔRMA PARA SAPATA, EM MADEIRA SERRADA, E=25 MM, 4 UTILIZAÇÕES. AF_06/2017</t>
  </si>
  <si>
    <t>4.6</t>
  </si>
  <si>
    <t>ARMAÇÃO DE BLOCO, VIGA BALDRAME OU SAPATA UTILIZANDO AÇO CA-50 DE 6,3MM - MONTAGEM. AF_06/2017</t>
  </si>
  <si>
    <t>4.7</t>
  </si>
  <si>
    <t>CONCRETAGEM DE BLOCOS DE COROAMENTO E VIGAS BALDRAME, FCK 30 MPA, COMUSO DE JERICA  LANÇAMENTO, ADENSAMENTO E ACABAMENTO. AF_06/2017</t>
  </si>
  <si>
    <t>4.8</t>
  </si>
  <si>
    <t>CINTA DE AMARRAÇÃO DE ALVENARIA MOLDADA IN LOCO EM CONCRETO. AF_03/2016</t>
  </si>
  <si>
    <t>4.9</t>
  </si>
  <si>
    <t>ALVENARIA DE VEDAÇÃO DE BLOCOS CERÂMICOS FURADOS NA VERTICAL DE 9X19X39CM (ESPESSURA 9CM) DE PAREDES COM ÁREA LÍQUIDA MAIOR OU IGUAL A 6M² SEM VÃOS E ARGAMASSA DE ASSENTAMENTO COM PREPARO MANUAL. AF_06/2014</t>
  </si>
  <si>
    <t>4.10</t>
  </si>
  <si>
    <t>CHAPISCO APLICADO EM ALVENARIA (SEM PRESENÇA DE VÃOS) E ESTRUTURAS DE CONCRETO DE FACHADA, COM COLHER DE PEDREIRO.  ARGAMASSA TRAÇO 1:3 COM PREPARO MANUAL. AF_06/2014</t>
  </si>
  <si>
    <t>4.11</t>
  </si>
  <si>
    <t>MONTAGEM E DESMONTAGEM DE FÔRMA DE PILARES RETANGULARES E ESTRUTURAS SIMILARES COM ÁREA MÉDIA DAS SEÇÕES MENOR OU IGUAL A 0,25 M², PÉ-DIREITO SIMPLES, EM CHAPA DE MADEIRA COMPENSADA PLASTIFICADA, 18 UTILIZAÇÕES. AF_12/2015</t>
  </si>
  <si>
    <t xml:space="preserve"> M2 </t>
  </si>
  <si>
    <t>4.12</t>
  </si>
  <si>
    <t>ARMAÇÃO DE PILAR OU VIGA DE UMA ESTRUTURA CONVENCIONAL DE CONCRETO ARMADO EM UMA EDIFICAÇÃO TÉRREA OU SOBRADO UTILIZANDO AÇO CA-50 DE 6,3 MM-  MONTAGEM. AF_12/2015</t>
  </si>
  <si>
    <t>4.13</t>
  </si>
  <si>
    <t>CONCRETAGEM DE PILARES, FCK = 25 MPA,  COM USO DE BALDES EM EDIFICAÇÃO COM SEÇÃO MÉDIA DE PILARES MENOR OU IGUAL A 0,25 M² - LANÇAMENTO, ADENSAMENTO E ACABAMENTO. AF_12/2015</t>
  </si>
  <si>
    <t>4.14</t>
  </si>
  <si>
    <t>CONCRETO MAGRO PARA LASTRO, TRAÇO 1:4,5:4,5 (CIMENTO/ AREIA MÉDIA/ BRITA 1)  - PREPARO MECÂNICO COM BETONEIRA 400 L. AF_07/2016</t>
  </si>
  <si>
    <t>4.15</t>
  </si>
  <si>
    <t>MASSA ÚNICA, PARA RECEBIMENTO DE PINTURA, EM ARGAMASSA TRAÇO 1:2:8, PREPARO MANUAL, APLICADA MANUALMENTE EM FACES INTERNAS DE PAREDES, ESPESSURA DE 20MM, COM EXECUÇÃO DE TALISCAS. AF_06/2014</t>
  </si>
  <si>
    <t>4.16</t>
  </si>
  <si>
    <t>APLICAÇÃO DE FUNDO SELADOR ACRÍLICO EM PAREDES, UMA DEMÃO. AF_06/2014</t>
  </si>
  <si>
    <t>APLICAÇÃO MANUAL DE MASSA ACRÍLICA EM PAREDES EXTERNAS DE CASAS, DUAS DEMÃOS. AF_05/2017</t>
  </si>
  <si>
    <t>4.17</t>
  </si>
  <si>
    <t>APLICAÇÃO MANUAL DE PINTURA COM TINTA LÁTEX ACRÍLICA EM PAREDES, DUAS DEMÃOS. AF_06/2014</t>
  </si>
  <si>
    <t>4.18</t>
  </si>
  <si>
    <t xml:space="preserve">PORTAO DE FERRO COM VARA 1/2" COM REQUADRO </t>
  </si>
  <si>
    <t>UNID</t>
  </si>
  <si>
    <t>C90777</t>
  </si>
  <si>
    <t>C90776</t>
  </si>
  <si>
    <t>C74209/001</t>
  </si>
  <si>
    <t>C73847/001</t>
  </si>
  <si>
    <t>ALUGUEL CONTAINER/ESCRIT INCL INST ELET LARG=2,20 COMP=6,20M 2,50M CHAPA ACO C/NERV TRAPEZ FORRO C/ISOL TERMO/ACUSTICO REFORC PISO COMPENS NAVAL EXC TRANSP/CARGA/DESCARGA</t>
  </si>
  <si>
    <t>C98459</t>
  </si>
  <si>
    <t>C74077/002</t>
  </si>
  <si>
    <t>COTAÇÃO DE MERCADO</t>
  </si>
  <si>
    <t>2.4</t>
  </si>
  <si>
    <t>C93286</t>
  </si>
  <si>
    <t>2.5</t>
  </si>
  <si>
    <t>C88297</t>
  </si>
  <si>
    <t>OPERADOR DE MÁQUINAS E EQUIPAMENTOS COM ENCARGOS COMPLEMENTARES</t>
  </si>
  <si>
    <t>C73902/001</t>
  </si>
  <si>
    <t>CAMADA DRENANTE COM BRITA NUM 3</t>
  </si>
  <si>
    <t>C96527</t>
  </si>
  <si>
    <t xml:space="preserve">C74106/001 </t>
  </si>
  <si>
    <t>CENTO</t>
  </si>
  <si>
    <t>C96995</t>
  </si>
  <si>
    <t>C96536</t>
  </si>
  <si>
    <t>C96535</t>
  </si>
  <si>
    <t>C96544</t>
  </si>
  <si>
    <t>C96555</t>
  </si>
  <si>
    <t>C93204</t>
  </si>
  <si>
    <t>C87478</t>
  </si>
  <si>
    <t>C87893</t>
  </si>
  <si>
    <t>C92442</t>
  </si>
  <si>
    <t>C92776</t>
  </si>
  <si>
    <t>C92718</t>
  </si>
  <si>
    <t>C94962</t>
  </si>
  <si>
    <t>C87530</t>
  </si>
  <si>
    <t>C88485</t>
  </si>
  <si>
    <t>C96135</t>
  </si>
  <si>
    <t>C88489</t>
  </si>
  <si>
    <t>C74100/001</t>
  </si>
  <si>
    <t>C72253</t>
  </si>
  <si>
    <t>C72254</t>
  </si>
  <si>
    <t>C72262</t>
  </si>
  <si>
    <t>C72272</t>
  </si>
  <si>
    <t>CONECTOR PARAFUSO FENDIDO SPLIT-BOLT - PARA CABO DE 35MM2 - FORNECIMENTO E INSTALACAO</t>
  </si>
  <si>
    <t>I40552</t>
  </si>
  <si>
    <t>C93358</t>
  </si>
  <si>
    <t>REGIME:</t>
  </si>
  <si>
    <t>DESONERADO</t>
  </si>
  <si>
    <t>MÊS DE REFERÊNCIA:</t>
  </si>
  <si>
    <t>CONFERENCIA</t>
  </si>
  <si>
    <t>TOTAL ACUMULADO</t>
  </si>
  <si>
    <t>Cronograma Descritivo - CORUMBA - 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</si>
</sst>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* #,##0.00_-;\-&quot;R$&quot;* #,##0.00_-;_-&quot;R$&quot;* &quot;-&quot;??_-;_-@_-"/>
    <numFmt numFmtId="164" formatCode="#,##0.00_ ;\-#,##0.00\ "/>
    <numFmt numFmtId="165" formatCode="_(&quot;R$ &quot;* #,##0.00_);_(&quot;R$ &quot;* \(#,##0.00\);_(&quot;R$ &quot;* &quot;-&quot;??_);_(@_)"/>
    <numFmt numFmtId="166" formatCode="dd\-mmm\-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Font="1"/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" fontId="3" fillId="4" borderId="9" xfId="0" applyNumberFormat="1" applyFont="1" applyFill="1" applyBorder="1" applyAlignment="1">
      <alignment horizontal="center" vertical="center"/>
    </xf>
    <xf numFmtId="44" fontId="3" fillId="4" borderId="9" xfId="1" applyFont="1" applyFill="1" applyBorder="1" applyAlignment="1">
      <alignment horizontal="center" vertical="center"/>
    </xf>
    <xf numFmtId="44" fontId="4" fillId="0" borderId="7" xfId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44" fontId="4" fillId="0" borderId="7" xfId="1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44" fontId="4" fillId="0" borderId="7" xfId="1" applyFont="1" applyFill="1" applyBorder="1" applyAlignment="1">
      <alignment horizontal="left" vertical="center" wrapText="1"/>
    </xf>
    <xf numFmtId="164" fontId="4" fillId="0" borderId="7" xfId="1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0" fontId="0" fillId="0" borderId="7" xfId="0" applyFont="1" applyFill="1" applyBorder="1" applyAlignment="1">
      <alignment wrapText="1"/>
    </xf>
    <xf numFmtId="0" fontId="0" fillId="0" borderId="7" xfId="0" applyFont="1" applyFill="1" applyBorder="1" applyAlignment="1">
      <alignment horizontal="center" vertical="center"/>
    </xf>
    <xf numFmtId="44" fontId="5" fillId="0" borderId="7" xfId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0" fontId="0" fillId="0" borderId="0" xfId="0" applyNumberFormat="1" applyFont="1"/>
    <xf numFmtId="0" fontId="7" fillId="0" borderId="7" xfId="3" applyFont="1" applyFill="1" applyBorder="1" applyAlignment="1">
      <alignment horizontal="center"/>
    </xf>
    <xf numFmtId="164" fontId="4" fillId="7" borderId="7" xfId="1" applyNumberFormat="1" applyFont="1" applyFill="1" applyBorder="1" applyAlignment="1">
      <alignment horizontal="center" vertical="center"/>
    </xf>
    <xf numFmtId="0" fontId="0" fillId="0" borderId="7" xfId="0" applyFont="1" applyBorder="1"/>
    <xf numFmtId="10" fontId="0" fillId="0" borderId="7" xfId="2" applyNumberFormat="1" applyFont="1" applyBorder="1"/>
    <xf numFmtId="0" fontId="3" fillId="7" borderId="7" xfId="0" applyFont="1" applyFill="1" applyBorder="1" applyAlignment="1">
      <alignment horizontal="center"/>
    </xf>
    <xf numFmtId="44" fontId="3" fillId="7" borderId="7" xfId="1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44" fontId="3" fillId="8" borderId="7" xfId="1" applyFont="1" applyFill="1" applyBorder="1" applyAlignment="1">
      <alignment horizontal="center"/>
    </xf>
    <xf numFmtId="9" fontId="0" fillId="9" borderId="7" xfId="2" applyFont="1" applyFill="1" applyBorder="1"/>
    <xf numFmtId="44" fontId="0" fillId="9" borderId="7" xfId="0" applyNumberFormat="1" applyFont="1" applyFill="1" applyBorder="1"/>
    <xf numFmtId="4" fontId="4" fillId="7" borderId="7" xfId="0" applyNumberFormat="1" applyFont="1" applyFill="1" applyBorder="1" applyAlignment="1">
      <alignment horizontal="center"/>
    </xf>
    <xf numFmtId="4" fontId="4" fillId="6" borderId="7" xfId="1" applyNumberFormat="1" applyFont="1" applyFill="1" applyBorder="1" applyAlignment="1">
      <alignment horizontal="center"/>
    </xf>
    <xf numFmtId="10" fontId="4" fillId="6" borderId="7" xfId="1" applyNumberFormat="1" applyFont="1" applyFill="1" applyBorder="1" applyAlignment="1">
      <alignment horizontal="center"/>
    </xf>
    <xf numFmtId="4" fontId="4" fillId="6" borderId="7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4" fontId="5" fillId="0" borderId="7" xfId="1" applyFont="1" applyFill="1" applyBorder="1" applyAlignment="1">
      <alignment horizontal="left" vertical="center" wrapText="1"/>
    </xf>
    <xf numFmtId="44" fontId="4" fillId="10" borderId="7" xfId="1" applyFont="1" applyFill="1" applyBorder="1" applyAlignment="1">
      <alignment horizontal="center" vertical="center"/>
    </xf>
    <xf numFmtId="44" fontId="5" fillId="10" borderId="7" xfId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10" fontId="4" fillId="7" borderId="7" xfId="1" applyNumberFormat="1" applyFont="1" applyFill="1" applyBorder="1" applyAlignment="1">
      <alignment horizontal="center"/>
    </xf>
    <xf numFmtId="44" fontId="4" fillId="5" borderId="7" xfId="1" applyFont="1" applyFill="1" applyBorder="1" applyAlignment="1">
      <alignment horizontal="left" vertical="center" wrapText="1"/>
    </xf>
    <xf numFmtId="44" fontId="4" fillId="5" borderId="7" xfId="1" applyFont="1" applyFill="1" applyBorder="1" applyAlignment="1">
      <alignment horizontal="center" vertical="center"/>
    </xf>
    <xf numFmtId="44" fontId="5" fillId="5" borderId="7" xfId="1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17" fontId="0" fillId="0" borderId="0" xfId="0" applyNumberFormat="1" applyFont="1" applyAlignment="1">
      <alignment horizontal="left"/>
    </xf>
    <xf numFmtId="0" fontId="7" fillId="6" borderId="7" xfId="3" applyFont="1" applyFill="1" applyBorder="1" applyAlignment="1">
      <alignment horizontal="center"/>
    </xf>
    <xf numFmtId="0" fontId="0" fillId="5" borderId="0" xfId="0" applyFont="1" applyFill="1"/>
    <xf numFmtId="44" fontId="3" fillId="0" borderId="0" xfId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/>
    </xf>
    <xf numFmtId="10" fontId="0" fillId="0" borderId="0" xfId="2" applyNumberFormat="1" applyFont="1"/>
    <xf numFmtId="44" fontId="9" fillId="8" borderId="7" xfId="0" applyNumberFormat="1" applyFont="1" applyFill="1" applyBorder="1"/>
    <xf numFmtId="44" fontId="3" fillId="5" borderId="7" xfId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66" fontId="7" fillId="6" borderId="11" xfId="4" applyNumberFormat="1" applyFont="1" applyFill="1" applyBorder="1" applyAlignment="1">
      <alignment horizontal="center"/>
    </xf>
    <xf numFmtId="166" fontId="7" fillId="6" borderId="12" xfId="4" applyNumberFormat="1" applyFont="1" applyFill="1" applyBorder="1" applyAlignment="1">
      <alignment horizontal="center"/>
    </xf>
  </cellXfs>
  <cellStyles count="5">
    <cellStyle name="Moeda" xfId="1" builtinId="4"/>
    <cellStyle name="Moeda 2" xfId="4"/>
    <cellStyle name="Normal" xfId="0" builtinId="0"/>
    <cellStyle name="Normal 2" xfId="3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94"/>
  <sheetViews>
    <sheetView topLeftCell="D1" zoomScale="85" zoomScaleNormal="85" workbookViewId="0">
      <selection activeCell="E12" sqref="E12"/>
    </sheetView>
  </sheetViews>
  <sheetFormatPr defaultRowHeight="15" x14ac:dyDescent="0.25"/>
  <cols>
    <col min="1" max="1" width="14.85546875" style="1" bestFit="1" customWidth="1"/>
    <col min="2" max="2" width="6.85546875" style="1" bestFit="1" customWidth="1"/>
    <col min="3" max="3" width="13.5703125" style="1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customWidth="1"/>
    <col min="9" max="9" width="18" style="1" customWidth="1"/>
    <col min="10" max="10" width="8.85546875" style="1" customWidth="1"/>
    <col min="11" max="11" width="17.7109375" style="1" customWidth="1"/>
    <col min="12" max="12" width="16.7109375" style="1" customWidth="1"/>
    <col min="13" max="13" width="14.5703125" style="1" bestFit="1" customWidth="1"/>
    <col min="14" max="14" width="3.28515625" style="1" customWidth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D2" s="49" t="s">
        <v>148</v>
      </c>
      <c r="E2" s="50" t="s">
        <v>149</v>
      </c>
      <c r="J2" s="24"/>
      <c r="O2" s="67" t="s">
        <v>56</v>
      </c>
      <c r="P2" s="68"/>
      <c r="Q2" s="68"/>
      <c r="R2" s="68"/>
      <c r="S2" s="68"/>
      <c r="T2" s="68"/>
      <c r="V2" s="53" t="s">
        <v>151</v>
      </c>
      <c r="W2" s="53"/>
    </row>
    <row r="3" spans="1:23" x14ac:dyDescent="0.25">
      <c r="D3" s="49" t="s">
        <v>150</v>
      </c>
      <c r="E3" s="51">
        <v>43344</v>
      </c>
    </row>
    <row r="4" spans="1:23" ht="15.75" thickBot="1" x14ac:dyDescent="0.3">
      <c r="O4" s="69" t="s">
        <v>24</v>
      </c>
      <c r="P4" s="70"/>
      <c r="Q4" s="69" t="s">
        <v>25</v>
      </c>
      <c r="R4" s="70"/>
      <c r="S4" s="69" t="s">
        <v>36</v>
      </c>
      <c r="T4" s="70"/>
    </row>
    <row r="5" spans="1:23" ht="15.75" thickBot="1" x14ac:dyDescent="0.3">
      <c r="A5" s="61" t="s">
        <v>57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3"/>
      <c r="O5" s="52" t="s">
        <v>26</v>
      </c>
      <c r="P5" s="52" t="s">
        <v>27</v>
      </c>
      <c r="Q5" s="52" t="s">
        <v>26</v>
      </c>
      <c r="R5" s="52" t="s">
        <v>27</v>
      </c>
      <c r="S5" s="52" t="s">
        <v>26</v>
      </c>
      <c r="T5" s="52" t="s">
        <v>27</v>
      </c>
      <c r="V5" s="25" t="s">
        <v>26</v>
      </c>
      <c r="W5" s="25" t="s">
        <v>27</v>
      </c>
    </row>
    <row r="6" spans="1:23" ht="15.75" thickBot="1" x14ac:dyDescent="0.3"/>
    <row r="7" spans="1:23" ht="15.75" thickBot="1" x14ac:dyDescent="0.3">
      <c r="A7" s="64" t="s">
        <v>58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6"/>
    </row>
    <row r="8" spans="1:23" x14ac:dyDescent="0.25">
      <c r="A8" s="59" t="s">
        <v>13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60"/>
      <c r="O8" s="59"/>
      <c r="P8" s="59"/>
      <c r="Q8" s="59"/>
      <c r="R8" s="59"/>
      <c r="S8" s="59"/>
      <c r="T8" s="59"/>
    </row>
    <row r="9" spans="1:23" x14ac:dyDescent="0.25">
      <c r="A9" s="2" t="s">
        <v>1</v>
      </c>
      <c r="B9" s="3" t="s">
        <v>2</v>
      </c>
      <c r="C9" s="3" t="s">
        <v>3</v>
      </c>
      <c r="D9" s="3" t="s">
        <v>4</v>
      </c>
      <c r="E9" s="4" t="s">
        <v>5</v>
      </c>
      <c r="F9" s="3" t="s">
        <v>6</v>
      </c>
      <c r="G9" s="3" t="s">
        <v>28</v>
      </c>
      <c r="H9" s="3" t="s">
        <v>29</v>
      </c>
      <c r="I9" s="5" t="s">
        <v>30</v>
      </c>
      <c r="J9" s="5" t="s">
        <v>31</v>
      </c>
      <c r="K9" s="3" t="s">
        <v>32</v>
      </c>
      <c r="L9" s="3" t="s">
        <v>33</v>
      </c>
      <c r="M9" s="5" t="s">
        <v>34</v>
      </c>
    </row>
    <row r="10" spans="1:23" x14ac:dyDescent="0.25">
      <c r="A10" s="48" t="s">
        <v>14</v>
      </c>
      <c r="B10" s="48" t="s">
        <v>8</v>
      </c>
      <c r="C10" s="48" t="s">
        <v>15</v>
      </c>
      <c r="D10" s="15" t="s">
        <v>16</v>
      </c>
      <c r="E10" s="13">
        <v>1</v>
      </c>
      <c r="F10" s="7" t="s">
        <v>105</v>
      </c>
      <c r="G10" s="35">
        <v>218.54</v>
      </c>
      <c r="H10" s="35">
        <v>0</v>
      </c>
      <c r="I10" s="36">
        <f>G10+H10</f>
        <v>218.54</v>
      </c>
      <c r="J10" s="37">
        <v>0.2666</v>
      </c>
      <c r="K10" s="38">
        <f>$E10*G10*(1+$J10)</f>
        <v>276.80276399999997</v>
      </c>
      <c r="L10" s="38">
        <f t="shared" ref="L10:M12" si="0">$E10*H10*(1+$J10)</f>
        <v>0</v>
      </c>
      <c r="M10" s="38">
        <f t="shared" si="0"/>
        <v>276.80276399999997</v>
      </c>
      <c r="O10" s="33">
        <v>1</v>
      </c>
      <c r="P10" s="34">
        <f>O10*$M10</f>
        <v>276.80276399999997</v>
      </c>
      <c r="Q10" s="27"/>
      <c r="R10" s="27"/>
      <c r="S10" s="27"/>
      <c r="T10" s="27"/>
      <c r="V10" s="28">
        <f>O10+Q10+S10</f>
        <v>1</v>
      </c>
      <c r="W10" s="8">
        <f>P10+R10+T10</f>
        <v>276.80276399999997</v>
      </c>
    </row>
    <row r="11" spans="1:23" ht="30" x14ac:dyDescent="0.25">
      <c r="A11" s="6" t="s">
        <v>7</v>
      </c>
      <c r="B11" s="16" t="s">
        <v>9</v>
      </c>
      <c r="C11" s="14" t="s">
        <v>106</v>
      </c>
      <c r="D11" s="15" t="s">
        <v>17</v>
      </c>
      <c r="E11" s="13">
        <v>20</v>
      </c>
      <c r="F11" s="7" t="s">
        <v>46</v>
      </c>
      <c r="G11" s="35">
        <v>0.4</v>
      </c>
      <c r="H11" s="35">
        <v>70.260000000000005</v>
      </c>
      <c r="I11" s="36">
        <f t="shared" ref="I11:I12" si="1">G11+H11</f>
        <v>70.660000000000011</v>
      </c>
      <c r="J11" s="37">
        <v>0.2666</v>
      </c>
      <c r="K11" s="38">
        <f t="shared" ref="K11:K12" si="2">$E11*G11*(1+$J11)</f>
        <v>10.1328</v>
      </c>
      <c r="L11" s="38">
        <f t="shared" si="0"/>
        <v>1779.8263199999999</v>
      </c>
      <c r="M11" s="38">
        <f t="shared" si="0"/>
        <v>1789.9591200000002</v>
      </c>
      <c r="O11" s="33">
        <v>0.5</v>
      </c>
      <c r="P11" s="34">
        <f>O11*$M11</f>
        <v>894.97956000000011</v>
      </c>
      <c r="Q11" s="33">
        <v>0.5</v>
      </c>
      <c r="R11" s="34">
        <f>Q11*$M11</f>
        <v>894.97956000000011</v>
      </c>
      <c r="S11" s="27"/>
      <c r="T11" s="27"/>
      <c r="V11" s="28">
        <f t="shared" ref="V11:V12" si="3">O11+Q11+S11</f>
        <v>1</v>
      </c>
      <c r="W11" s="8">
        <f t="shared" ref="W11:W12" si="4">P11+R11+T11</f>
        <v>1789.9591200000002</v>
      </c>
    </row>
    <row r="12" spans="1:23" ht="30" x14ac:dyDescent="0.25">
      <c r="A12" s="6" t="s">
        <v>7</v>
      </c>
      <c r="B12" s="16" t="s">
        <v>10</v>
      </c>
      <c r="C12" s="14" t="s">
        <v>107</v>
      </c>
      <c r="D12" s="15" t="s">
        <v>18</v>
      </c>
      <c r="E12" s="13">
        <v>40</v>
      </c>
      <c r="F12" s="7" t="s">
        <v>46</v>
      </c>
      <c r="G12" s="35">
        <v>2.99</v>
      </c>
      <c r="H12" s="35">
        <v>19.010000000000002</v>
      </c>
      <c r="I12" s="36">
        <f t="shared" si="1"/>
        <v>22</v>
      </c>
      <c r="J12" s="37">
        <v>0.2666</v>
      </c>
      <c r="K12" s="38">
        <f t="shared" si="2"/>
        <v>151.48536000000001</v>
      </c>
      <c r="L12" s="38">
        <f t="shared" si="0"/>
        <v>963.12264000000005</v>
      </c>
      <c r="M12" s="38">
        <f t="shared" si="0"/>
        <v>1114.6079999999999</v>
      </c>
      <c r="O12" s="33">
        <v>0.5</v>
      </c>
      <c r="P12" s="34">
        <f>O12*$M12</f>
        <v>557.30399999999997</v>
      </c>
      <c r="Q12" s="33">
        <v>0.5</v>
      </c>
      <c r="R12" s="34">
        <f>Q12*$M12</f>
        <v>557.30399999999997</v>
      </c>
      <c r="S12" s="27"/>
      <c r="T12" s="27"/>
      <c r="V12" s="28">
        <f t="shared" si="3"/>
        <v>1</v>
      </c>
      <c r="W12" s="8">
        <f t="shared" si="4"/>
        <v>1114.6079999999999</v>
      </c>
    </row>
    <row r="13" spans="1:23" x14ac:dyDescent="0.25">
      <c r="A13" s="18"/>
      <c r="B13" s="19"/>
      <c r="C13" s="39"/>
      <c r="D13" s="21"/>
      <c r="E13" s="22"/>
      <c r="F13" s="23"/>
      <c r="G13" s="23"/>
      <c r="H13" s="23"/>
      <c r="I13" s="31" t="s">
        <v>35</v>
      </c>
      <c r="J13" s="31"/>
      <c r="K13" s="32">
        <f t="shared" ref="K13:L13" si="5">SUM(K10:K12)</f>
        <v>438.42092399999996</v>
      </c>
      <c r="L13" s="32">
        <f t="shared" si="5"/>
        <v>2742.9489599999997</v>
      </c>
      <c r="M13" s="32">
        <f>SUM(M10:M12)</f>
        <v>3181.3698839999997</v>
      </c>
      <c r="P13" s="32">
        <f>SUM(P10:P12)</f>
        <v>1729.0863239999999</v>
      </c>
      <c r="R13" s="32">
        <f>SUM(R10:R12)</f>
        <v>1452.2835600000001</v>
      </c>
      <c r="T13" s="32">
        <f>SUM(T10:T12)</f>
        <v>0</v>
      </c>
    </row>
    <row r="14" spans="1:23" ht="15.75" thickBot="1" x14ac:dyDescent="0.3"/>
    <row r="15" spans="1:23" ht="15.75" thickBot="1" x14ac:dyDescent="0.3">
      <c r="A15" s="64" t="s">
        <v>59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6"/>
    </row>
    <row r="16" spans="1:23" ht="15.75" thickBot="1" x14ac:dyDescent="0.3">
      <c r="A16" s="59" t="s">
        <v>0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O16" s="59"/>
      <c r="P16" s="59"/>
      <c r="Q16" s="59"/>
      <c r="R16" s="59"/>
      <c r="S16" s="59"/>
      <c r="T16" s="59"/>
    </row>
    <row r="17" spans="1:23" x14ac:dyDescent="0.25">
      <c r="A17" s="9" t="s">
        <v>1</v>
      </c>
      <c r="B17" s="10" t="s">
        <v>2</v>
      </c>
      <c r="C17" s="10" t="s">
        <v>3</v>
      </c>
      <c r="D17" s="11" t="s">
        <v>4</v>
      </c>
      <c r="E17" s="4" t="s">
        <v>5</v>
      </c>
      <c r="F17" s="3" t="s">
        <v>6</v>
      </c>
      <c r="G17" s="3" t="s">
        <v>28</v>
      </c>
      <c r="H17" s="3" t="s">
        <v>29</v>
      </c>
      <c r="I17" s="5" t="s">
        <v>30</v>
      </c>
      <c r="J17" s="5" t="s">
        <v>31</v>
      </c>
      <c r="K17" s="3" t="s">
        <v>32</v>
      </c>
      <c r="L17" s="3" t="s">
        <v>33</v>
      </c>
      <c r="M17" s="5" t="s">
        <v>34</v>
      </c>
    </row>
    <row r="18" spans="1:23" x14ac:dyDescent="0.25">
      <c r="A18" s="6" t="s">
        <v>7</v>
      </c>
      <c r="B18" s="6" t="s">
        <v>8</v>
      </c>
      <c r="C18" s="17" t="s">
        <v>108</v>
      </c>
      <c r="D18" s="12" t="s">
        <v>19</v>
      </c>
      <c r="E18" s="13">
        <v>6</v>
      </c>
      <c r="F18" s="6" t="s">
        <v>20</v>
      </c>
      <c r="G18" s="35">
        <f>0.15+271.29</f>
        <v>271.44</v>
      </c>
      <c r="H18" s="35">
        <v>30.78</v>
      </c>
      <c r="I18" s="36">
        <f t="shared" ref="I18:I22" si="6">G18+H18</f>
        <v>302.22000000000003</v>
      </c>
      <c r="J18" s="37">
        <v>0.2666</v>
      </c>
      <c r="K18" s="38">
        <f t="shared" ref="K18:M22" si="7">$E18*G18*(1+$J18)</f>
        <v>2062.8354239999999</v>
      </c>
      <c r="L18" s="38">
        <f t="shared" si="7"/>
        <v>233.91568799999999</v>
      </c>
      <c r="M18" s="38">
        <f t="shared" si="7"/>
        <v>2296.7511119999999</v>
      </c>
      <c r="O18" s="33">
        <v>1</v>
      </c>
      <c r="P18" s="34">
        <f>O18*$M18</f>
        <v>2296.7511119999999</v>
      </c>
      <c r="Q18" s="27"/>
      <c r="R18" s="27"/>
      <c r="S18" s="27"/>
      <c r="T18" s="27"/>
      <c r="V18" s="28">
        <f t="shared" ref="V18:V22" si="8">O18+Q18+S18</f>
        <v>1</v>
      </c>
      <c r="W18" s="8">
        <f t="shared" ref="W18:W22" si="9">P18+R18+T18</f>
        <v>2296.7511119999999</v>
      </c>
    </row>
    <row r="19" spans="1:23" ht="60" x14ac:dyDescent="0.25">
      <c r="A19" s="6" t="s">
        <v>7</v>
      </c>
      <c r="B19" s="6" t="s">
        <v>9</v>
      </c>
      <c r="C19" s="17" t="s">
        <v>109</v>
      </c>
      <c r="D19" s="40" t="s">
        <v>110</v>
      </c>
      <c r="E19" s="13">
        <v>2</v>
      </c>
      <c r="F19" s="6" t="s">
        <v>21</v>
      </c>
      <c r="G19" s="35">
        <v>394.53</v>
      </c>
      <c r="H19" s="35">
        <v>0</v>
      </c>
      <c r="I19" s="36">
        <f t="shared" si="6"/>
        <v>394.53</v>
      </c>
      <c r="J19" s="37">
        <v>0.2666</v>
      </c>
      <c r="K19" s="38">
        <f t="shared" si="7"/>
        <v>999.42339599999991</v>
      </c>
      <c r="L19" s="38">
        <f t="shared" si="7"/>
        <v>0</v>
      </c>
      <c r="M19" s="38">
        <f t="shared" si="7"/>
        <v>999.42339599999991</v>
      </c>
      <c r="O19" s="33">
        <v>0.5</v>
      </c>
      <c r="P19" s="34">
        <f>O19*$M19</f>
        <v>499.71169799999996</v>
      </c>
      <c r="Q19" s="33">
        <v>0.5</v>
      </c>
      <c r="R19" s="34">
        <f>Q19*$M19</f>
        <v>499.71169799999996</v>
      </c>
      <c r="S19" s="27"/>
      <c r="T19" s="27"/>
      <c r="V19" s="28">
        <f t="shared" si="8"/>
        <v>1</v>
      </c>
      <c r="W19" s="8">
        <f t="shared" si="9"/>
        <v>999.42339599999991</v>
      </c>
    </row>
    <row r="20" spans="1:23" ht="60" x14ac:dyDescent="0.25">
      <c r="A20" s="6" t="s">
        <v>7</v>
      </c>
      <c r="B20" s="6" t="s">
        <v>10</v>
      </c>
      <c r="C20" s="17" t="s">
        <v>109</v>
      </c>
      <c r="D20" s="40" t="s">
        <v>110</v>
      </c>
      <c r="E20" s="13">
        <v>2</v>
      </c>
      <c r="F20" s="6" t="s">
        <v>21</v>
      </c>
      <c r="G20" s="35">
        <v>394.53</v>
      </c>
      <c r="H20" s="35">
        <v>0</v>
      </c>
      <c r="I20" s="36">
        <f t="shared" si="6"/>
        <v>394.53</v>
      </c>
      <c r="J20" s="37">
        <v>0.2666</v>
      </c>
      <c r="K20" s="38">
        <f t="shared" si="7"/>
        <v>999.42339599999991</v>
      </c>
      <c r="L20" s="38">
        <f t="shared" si="7"/>
        <v>0</v>
      </c>
      <c r="M20" s="38">
        <f t="shared" si="7"/>
        <v>999.42339599999991</v>
      </c>
      <c r="O20" s="33">
        <v>0.5</v>
      </c>
      <c r="P20" s="34">
        <f>O20*$M20</f>
        <v>499.71169799999996</v>
      </c>
      <c r="Q20" s="33">
        <v>0.5</v>
      </c>
      <c r="R20" s="34">
        <f>Q20*$M20</f>
        <v>499.71169799999996</v>
      </c>
      <c r="S20" s="27"/>
      <c r="T20" s="27"/>
      <c r="V20" s="28">
        <f t="shared" si="8"/>
        <v>1</v>
      </c>
      <c r="W20" s="8">
        <f t="shared" si="9"/>
        <v>999.42339599999991</v>
      </c>
    </row>
    <row r="21" spans="1:23" x14ac:dyDescent="0.25">
      <c r="A21" s="6" t="s">
        <v>7</v>
      </c>
      <c r="B21" s="6" t="s">
        <v>11</v>
      </c>
      <c r="C21" s="17" t="s">
        <v>111</v>
      </c>
      <c r="D21" s="12" t="s">
        <v>22</v>
      </c>
      <c r="E21" s="26">
        <v>54.8</v>
      </c>
      <c r="F21" s="6" t="s">
        <v>20</v>
      </c>
      <c r="G21" s="35">
        <f>56.86+0.01</f>
        <v>56.87</v>
      </c>
      <c r="H21" s="35">
        <v>4.5199999999999996</v>
      </c>
      <c r="I21" s="36">
        <f t="shared" si="6"/>
        <v>61.39</v>
      </c>
      <c r="J21" s="37">
        <v>0.2666</v>
      </c>
      <c r="K21" s="38">
        <f t="shared" si="7"/>
        <v>3947.3285015999995</v>
      </c>
      <c r="L21" s="38">
        <f t="shared" si="7"/>
        <v>313.73175359999993</v>
      </c>
      <c r="M21" s="38">
        <f t="shared" si="7"/>
        <v>4261.0602552</v>
      </c>
      <c r="O21" s="33">
        <v>1</v>
      </c>
      <c r="P21" s="34">
        <f>O21*$M21</f>
        <v>4261.0602552</v>
      </c>
      <c r="Q21" s="27"/>
      <c r="R21" s="27"/>
      <c r="S21" s="27"/>
      <c r="T21" s="27"/>
      <c r="V21" s="28">
        <f t="shared" si="8"/>
        <v>1</v>
      </c>
      <c r="W21" s="8">
        <f t="shared" si="9"/>
        <v>4261.0602552</v>
      </c>
    </row>
    <row r="22" spans="1:23" ht="45" x14ac:dyDescent="0.25">
      <c r="A22" s="6" t="s">
        <v>7</v>
      </c>
      <c r="B22" s="6" t="s">
        <v>12</v>
      </c>
      <c r="C22" s="17" t="s">
        <v>112</v>
      </c>
      <c r="D22" s="12" t="s">
        <v>23</v>
      </c>
      <c r="E22" s="26">
        <v>520.38</v>
      </c>
      <c r="F22" s="6" t="s">
        <v>20</v>
      </c>
      <c r="G22" s="35">
        <v>1.26</v>
      </c>
      <c r="H22" s="35">
        <v>2.23</v>
      </c>
      <c r="I22" s="36">
        <f t="shared" si="6"/>
        <v>3.49</v>
      </c>
      <c r="J22" s="37">
        <v>0.2666</v>
      </c>
      <c r="K22" s="38">
        <f t="shared" si="7"/>
        <v>830.48276808000003</v>
      </c>
      <c r="L22" s="38">
        <f t="shared" si="7"/>
        <v>1469.82267684</v>
      </c>
      <c r="M22" s="38">
        <f t="shared" si="7"/>
        <v>2300.3054449199999</v>
      </c>
      <c r="O22" s="33">
        <v>1</v>
      </c>
      <c r="P22" s="34">
        <f>O22*$M22</f>
        <v>2300.3054449199999</v>
      </c>
      <c r="Q22" s="27"/>
      <c r="R22" s="27"/>
      <c r="S22" s="27"/>
      <c r="T22" s="27"/>
      <c r="V22" s="28">
        <f t="shared" si="8"/>
        <v>1</v>
      </c>
      <c r="W22" s="8">
        <f t="shared" si="9"/>
        <v>2300.3054449199999</v>
      </c>
    </row>
    <row r="23" spans="1:23" x14ac:dyDescent="0.25">
      <c r="I23" s="31" t="s">
        <v>35</v>
      </c>
      <c r="J23" s="31"/>
      <c r="K23" s="32">
        <f t="shared" ref="K23:L23" si="10">SUM(K18:K22)</f>
        <v>8839.493485680001</v>
      </c>
      <c r="L23" s="32">
        <f t="shared" si="10"/>
        <v>2017.4701184399999</v>
      </c>
      <c r="M23" s="32">
        <f>SUM(M18:M22)</f>
        <v>10856.963604119999</v>
      </c>
      <c r="P23" s="32">
        <f>SUM(P18:P22)</f>
        <v>9857.5402081200009</v>
      </c>
      <c r="R23" s="32">
        <f>SUM(R18:R22)</f>
        <v>999.42339599999991</v>
      </c>
      <c r="T23" s="32">
        <f>SUM(T18:T22)</f>
        <v>0</v>
      </c>
    </row>
    <row r="24" spans="1:23" ht="15.75" thickBot="1" x14ac:dyDescent="0.3"/>
    <row r="25" spans="1:23" ht="15.75" thickBot="1" x14ac:dyDescent="0.3">
      <c r="A25" s="64" t="s">
        <v>60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6"/>
    </row>
    <row r="26" spans="1:23" x14ac:dyDescent="0.25">
      <c r="A26" s="59" t="s">
        <v>38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O26" s="59"/>
      <c r="P26" s="59"/>
      <c r="Q26" s="59"/>
      <c r="R26" s="59"/>
      <c r="S26" s="59"/>
      <c r="T26" s="59"/>
    </row>
    <row r="27" spans="1:23" x14ac:dyDescent="0.25">
      <c r="A27" s="2" t="s">
        <v>1</v>
      </c>
      <c r="B27" s="3" t="s">
        <v>2</v>
      </c>
      <c r="C27" s="3" t="s">
        <v>3</v>
      </c>
      <c r="D27" s="3" t="s">
        <v>4</v>
      </c>
      <c r="E27" s="4" t="s">
        <v>5</v>
      </c>
      <c r="F27" s="3" t="s">
        <v>6</v>
      </c>
      <c r="G27" s="3" t="s">
        <v>28</v>
      </c>
      <c r="H27" s="3" t="s">
        <v>29</v>
      </c>
      <c r="I27" s="5" t="s">
        <v>30</v>
      </c>
      <c r="J27" s="5" t="s">
        <v>31</v>
      </c>
      <c r="K27" s="3" t="s">
        <v>32</v>
      </c>
      <c r="L27" s="3" t="s">
        <v>33</v>
      </c>
      <c r="M27" s="5" t="s">
        <v>34</v>
      </c>
    </row>
    <row r="28" spans="1:23" x14ac:dyDescent="0.25">
      <c r="A28" s="14" t="s">
        <v>14</v>
      </c>
      <c r="B28" s="14" t="s">
        <v>8</v>
      </c>
      <c r="C28" s="14" t="s">
        <v>15</v>
      </c>
      <c r="D28" s="15" t="s">
        <v>16</v>
      </c>
      <c r="E28" s="13">
        <v>1</v>
      </c>
      <c r="F28" s="7" t="s">
        <v>105</v>
      </c>
      <c r="G28" s="35">
        <v>218.54</v>
      </c>
      <c r="H28" s="35">
        <v>0</v>
      </c>
      <c r="I28" s="36">
        <f t="shared" ref="I28:I30" si="11">G28+H28</f>
        <v>218.54</v>
      </c>
      <c r="J28" s="37">
        <v>0.2666</v>
      </c>
      <c r="K28" s="38">
        <f t="shared" ref="K28:M30" si="12">$E28*G28*(1+$J28)</f>
        <v>276.80276399999997</v>
      </c>
      <c r="L28" s="38">
        <f t="shared" si="12"/>
        <v>0</v>
      </c>
      <c r="M28" s="38">
        <f t="shared" si="12"/>
        <v>276.80276399999997</v>
      </c>
      <c r="O28" s="33">
        <v>1</v>
      </c>
      <c r="P28" s="34">
        <f>O28*$M28</f>
        <v>276.80276399999997</v>
      </c>
      <c r="Q28" s="27"/>
      <c r="R28" s="27"/>
      <c r="S28" s="27"/>
      <c r="T28" s="27"/>
      <c r="V28" s="28">
        <f t="shared" ref="V28:V30" si="13">O28+Q28+S28</f>
        <v>1</v>
      </c>
      <c r="W28" s="8">
        <f t="shared" ref="W28:W30" si="14">P28+R28+T28</f>
        <v>276.80276399999997</v>
      </c>
    </row>
    <row r="29" spans="1:23" ht="30" x14ac:dyDescent="0.25">
      <c r="A29" s="6" t="s">
        <v>7</v>
      </c>
      <c r="B29" s="16" t="s">
        <v>9</v>
      </c>
      <c r="C29" s="14" t="s">
        <v>106</v>
      </c>
      <c r="D29" s="15" t="s">
        <v>17</v>
      </c>
      <c r="E29" s="13">
        <v>160</v>
      </c>
      <c r="F29" s="7" t="s">
        <v>46</v>
      </c>
      <c r="G29" s="35">
        <v>0.4</v>
      </c>
      <c r="H29" s="35">
        <v>70.260000000000005</v>
      </c>
      <c r="I29" s="36">
        <f t="shared" si="11"/>
        <v>70.660000000000011</v>
      </c>
      <c r="J29" s="37">
        <v>0.2666</v>
      </c>
      <c r="K29" s="38">
        <f t="shared" si="12"/>
        <v>81.062399999999997</v>
      </c>
      <c r="L29" s="38">
        <f t="shared" si="12"/>
        <v>14238.610559999999</v>
      </c>
      <c r="M29" s="38">
        <f t="shared" si="12"/>
        <v>14319.672960000002</v>
      </c>
      <c r="O29" s="27"/>
      <c r="P29" s="27"/>
      <c r="Q29" s="33">
        <v>0.5</v>
      </c>
      <c r="R29" s="34">
        <f>Q29*$M29</f>
        <v>7159.8364800000008</v>
      </c>
      <c r="S29" s="33">
        <v>0.5</v>
      </c>
      <c r="T29" s="34">
        <f>S29*$M29</f>
        <v>7159.8364800000008</v>
      </c>
      <c r="V29" s="28">
        <f t="shared" si="13"/>
        <v>1</v>
      </c>
      <c r="W29" s="8">
        <f t="shared" si="14"/>
        <v>14319.672960000002</v>
      </c>
    </row>
    <row r="30" spans="1:23" ht="30" x14ac:dyDescent="0.25">
      <c r="A30" s="6" t="s">
        <v>7</v>
      </c>
      <c r="B30" s="16" t="s">
        <v>10</v>
      </c>
      <c r="C30" s="14" t="s">
        <v>107</v>
      </c>
      <c r="D30" s="15" t="s">
        <v>18</v>
      </c>
      <c r="E30" s="13">
        <v>320</v>
      </c>
      <c r="F30" s="7" t="s">
        <v>46</v>
      </c>
      <c r="G30" s="35">
        <v>2.99</v>
      </c>
      <c r="H30" s="35">
        <v>19.010000000000002</v>
      </c>
      <c r="I30" s="36">
        <f t="shared" si="11"/>
        <v>22</v>
      </c>
      <c r="J30" s="37">
        <v>0.2666</v>
      </c>
      <c r="K30" s="38">
        <f t="shared" si="12"/>
        <v>1211.8828800000001</v>
      </c>
      <c r="L30" s="38">
        <f t="shared" si="12"/>
        <v>7704.9811200000004</v>
      </c>
      <c r="M30" s="38">
        <f t="shared" si="12"/>
        <v>8916.8639999999996</v>
      </c>
      <c r="O30" s="27"/>
      <c r="P30" s="27"/>
      <c r="Q30" s="33">
        <v>0.5</v>
      </c>
      <c r="R30" s="34">
        <f>Q30*$M30</f>
        <v>4458.4319999999998</v>
      </c>
      <c r="S30" s="33">
        <v>0.5</v>
      </c>
      <c r="T30" s="34">
        <f>S30*$M30</f>
        <v>4458.4319999999998</v>
      </c>
      <c r="V30" s="28">
        <f t="shared" si="13"/>
        <v>1</v>
      </c>
      <c r="W30" s="8">
        <f t="shared" si="14"/>
        <v>8916.8639999999996</v>
      </c>
    </row>
    <row r="31" spans="1:23" x14ac:dyDescent="0.25">
      <c r="A31" s="18"/>
      <c r="B31" s="19"/>
      <c r="C31" s="39"/>
      <c r="D31" s="21"/>
      <c r="E31" s="22"/>
      <c r="F31" s="23"/>
      <c r="G31" s="23"/>
      <c r="H31" s="23"/>
      <c r="I31" s="31" t="s">
        <v>35</v>
      </c>
      <c r="J31" s="31"/>
      <c r="K31" s="32">
        <f t="shared" ref="K31:L31" si="15">SUM(K28:K30)</f>
        <v>1569.7480439999999</v>
      </c>
      <c r="L31" s="32">
        <f t="shared" si="15"/>
        <v>21943.591679999998</v>
      </c>
      <c r="M31" s="32">
        <f>SUM(M28:M30)</f>
        <v>23513.339724000001</v>
      </c>
      <c r="P31" s="32">
        <f>SUM(P28:P30)</f>
        <v>276.80276399999997</v>
      </c>
      <c r="R31" s="32">
        <f>SUM(R28:R30)</f>
        <v>11618.268480000001</v>
      </c>
      <c r="T31" s="32">
        <f>SUM(T28:T30)</f>
        <v>11618.268480000001</v>
      </c>
    </row>
    <row r="32" spans="1:23" ht="15.75" thickBot="1" x14ac:dyDescent="0.3"/>
    <row r="33" spans="1:23" ht="15.75" thickBot="1" x14ac:dyDescent="0.3">
      <c r="A33" s="64" t="s">
        <v>61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6"/>
    </row>
    <row r="34" spans="1:23" ht="15.75" thickBot="1" x14ac:dyDescent="0.3">
      <c r="A34" s="59" t="s">
        <v>64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  <c r="O34" s="59"/>
      <c r="P34" s="59"/>
      <c r="Q34" s="59"/>
      <c r="R34" s="59"/>
      <c r="S34" s="59"/>
      <c r="T34" s="59"/>
    </row>
    <row r="35" spans="1:23" x14ac:dyDescent="0.25">
      <c r="A35" s="9" t="s">
        <v>1</v>
      </c>
      <c r="B35" s="10" t="s">
        <v>2</v>
      </c>
      <c r="C35" s="10" t="s">
        <v>3</v>
      </c>
      <c r="D35" s="11" t="s">
        <v>4</v>
      </c>
      <c r="E35" s="4" t="s">
        <v>5</v>
      </c>
      <c r="F35" s="3" t="s">
        <v>6</v>
      </c>
      <c r="G35" s="3" t="s">
        <v>28</v>
      </c>
      <c r="H35" s="3" t="s">
        <v>29</v>
      </c>
      <c r="I35" s="5" t="s">
        <v>30</v>
      </c>
      <c r="J35" s="5" t="s">
        <v>31</v>
      </c>
      <c r="K35" s="3" t="s">
        <v>32</v>
      </c>
      <c r="L35" s="3" t="s">
        <v>33</v>
      </c>
      <c r="M35" s="5" t="s">
        <v>34</v>
      </c>
    </row>
    <row r="36" spans="1:23" ht="45" x14ac:dyDescent="0.25">
      <c r="A36" s="45" t="s">
        <v>113</v>
      </c>
      <c r="B36" s="46" t="s">
        <v>8</v>
      </c>
      <c r="C36" s="47" t="s">
        <v>15</v>
      </c>
      <c r="D36" s="12" t="s">
        <v>65</v>
      </c>
      <c r="E36" s="13">
        <v>1</v>
      </c>
      <c r="F36" s="6" t="s">
        <v>6</v>
      </c>
      <c r="G36" s="35">
        <v>109600</v>
      </c>
      <c r="H36" s="35">
        <v>0</v>
      </c>
      <c r="I36" s="36">
        <f t="shared" ref="I36:I38" si="16">G36+H36</f>
        <v>109600</v>
      </c>
      <c r="J36" s="44">
        <v>0.15160000000000001</v>
      </c>
      <c r="K36" s="38">
        <f t="shared" ref="K36:K38" si="17">$E36*G36*(1+$J36)</f>
        <v>126215.36</v>
      </c>
      <c r="L36" s="38">
        <f t="shared" ref="L36:L38" si="18">$E36*H36*(1+$J36)</f>
        <v>0</v>
      </c>
      <c r="M36" s="38">
        <f t="shared" ref="M36:M38" si="19">$E36*I36*(1+$J36)</f>
        <v>126215.36</v>
      </c>
      <c r="O36" s="27"/>
      <c r="P36" s="27"/>
      <c r="Q36" s="33">
        <v>0.2</v>
      </c>
      <c r="R36" s="34">
        <f t="shared" ref="R36:T38" si="20">Q36*$M36</f>
        <v>25243.072</v>
      </c>
      <c r="S36" s="33">
        <v>0.8</v>
      </c>
      <c r="T36" s="34">
        <f t="shared" si="20"/>
        <v>100972.288</v>
      </c>
      <c r="V36" s="28">
        <f t="shared" ref="V36:V38" si="21">O36+Q36+S36</f>
        <v>1</v>
      </c>
      <c r="W36" s="8">
        <f t="shared" ref="W36:W38" si="22">P36+R36+T36</f>
        <v>126215.36</v>
      </c>
    </row>
    <row r="37" spans="1:23" ht="45" x14ac:dyDescent="0.25">
      <c r="A37" s="6" t="s">
        <v>7</v>
      </c>
      <c r="B37" s="6" t="s">
        <v>114</v>
      </c>
      <c r="C37" s="17" t="s">
        <v>115</v>
      </c>
      <c r="D37" s="12" t="s">
        <v>45</v>
      </c>
      <c r="E37" s="13">
        <v>40</v>
      </c>
      <c r="F37" s="6" t="s">
        <v>46</v>
      </c>
      <c r="G37" s="35">
        <v>117.13</v>
      </c>
      <c r="H37" s="35">
        <v>0</v>
      </c>
      <c r="I37" s="36">
        <f t="shared" si="16"/>
        <v>117.13</v>
      </c>
      <c r="J37" s="37">
        <v>0.2666</v>
      </c>
      <c r="K37" s="38">
        <f t="shared" si="17"/>
        <v>5934.2743199999995</v>
      </c>
      <c r="L37" s="38">
        <f t="shared" si="18"/>
        <v>0</v>
      </c>
      <c r="M37" s="38">
        <f t="shared" si="19"/>
        <v>5934.2743199999995</v>
      </c>
      <c r="O37" s="27"/>
      <c r="P37" s="27"/>
      <c r="Q37" s="27"/>
      <c r="R37" s="27"/>
      <c r="S37" s="33">
        <v>1</v>
      </c>
      <c r="T37" s="34">
        <f t="shared" ref="T37" si="23">S37*$M37</f>
        <v>5934.2743199999995</v>
      </c>
      <c r="V37" s="28">
        <f t="shared" ref="V37" si="24">O37+Q37+S37</f>
        <v>1</v>
      </c>
      <c r="W37" s="8">
        <f t="shared" ref="W37" si="25">P37+R37+T37</f>
        <v>5934.2743199999995</v>
      </c>
    </row>
    <row r="38" spans="1:23" ht="30" x14ac:dyDescent="0.25">
      <c r="A38" s="41" t="s">
        <v>7</v>
      </c>
      <c r="B38" s="41" t="s">
        <v>116</v>
      </c>
      <c r="C38" s="42" t="s">
        <v>117</v>
      </c>
      <c r="D38" s="12" t="s">
        <v>118</v>
      </c>
      <c r="E38" s="13">
        <v>40</v>
      </c>
      <c r="F38" s="6" t="s">
        <v>46</v>
      </c>
      <c r="G38" s="35">
        <v>3.76</v>
      </c>
      <c r="H38" s="35">
        <v>17.82</v>
      </c>
      <c r="I38" s="36">
        <f t="shared" si="16"/>
        <v>21.58</v>
      </c>
      <c r="J38" s="37">
        <v>0.2666</v>
      </c>
      <c r="K38" s="38">
        <f t="shared" si="17"/>
        <v>190.49663999999996</v>
      </c>
      <c r="L38" s="38">
        <f t="shared" si="18"/>
        <v>902.83247999999992</v>
      </c>
      <c r="M38" s="38">
        <f t="shared" si="19"/>
        <v>1093.3291199999999</v>
      </c>
      <c r="O38" s="27"/>
      <c r="P38" s="27"/>
      <c r="Q38" s="27"/>
      <c r="R38" s="27"/>
      <c r="S38" s="33">
        <v>1</v>
      </c>
      <c r="T38" s="34">
        <f t="shared" si="20"/>
        <v>1093.3291199999999</v>
      </c>
      <c r="V38" s="28">
        <f t="shared" si="21"/>
        <v>1</v>
      </c>
      <c r="W38" s="8">
        <f t="shared" si="22"/>
        <v>1093.3291199999999</v>
      </c>
    </row>
    <row r="39" spans="1:23" x14ac:dyDescent="0.25">
      <c r="C39" s="43"/>
      <c r="I39" s="31" t="s">
        <v>35</v>
      </c>
      <c r="J39" s="31"/>
      <c r="K39" s="32">
        <f t="shared" ref="K39:L39" si="26">SUM(K36:K38)</f>
        <v>132340.13096000001</v>
      </c>
      <c r="L39" s="32">
        <f t="shared" si="26"/>
        <v>902.83247999999992</v>
      </c>
      <c r="M39" s="32">
        <f>SUM(M36:M38)</f>
        <v>133242.96344000002</v>
      </c>
      <c r="P39" s="32">
        <f>SUM(P36:P38)</f>
        <v>0</v>
      </c>
      <c r="R39" s="32">
        <f>SUM(R36:R38)</f>
        <v>25243.072</v>
      </c>
      <c r="T39" s="32">
        <f>SUM(T36:T38)</f>
        <v>107999.89143999999</v>
      </c>
    </row>
    <row r="40" spans="1:23" ht="15.75" thickBot="1" x14ac:dyDescent="0.3"/>
    <row r="41" spans="1:23" ht="15.75" thickBot="1" x14ac:dyDescent="0.3">
      <c r="A41" s="59" t="s">
        <v>66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  <c r="O41" s="59"/>
      <c r="P41" s="59"/>
      <c r="Q41" s="59"/>
      <c r="R41" s="59"/>
      <c r="S41" s="59"/>
      <c r="T41" s="59"/>
    </row>
    <row r="42" spans="1:23" x14ac:dyDescent="0.25">
      <c r="A42" s="9" t="s">
        <v>1</v>
      </c>
      <c r="B42" s="10" t="s">
        <v>2</v>
      </c>
      <c r="C42" s="10" t="s">
        <v>3</v>
      </c>
      <c r="D42" s="11" t="s">
        <v>4</v>
      </c>
      <c r="E42" s="4" t="s">
        <v>5</v>
      </c>
      <c r="F42" s="3" t="s">
        <v>6</v>
      </c>
      <c r="G42" s="3" t="s">
        <v>28</v>
      </c>
      <c r="H42" s="3" t="s">
        <v>29</v>
      </c>
      <c r="I42" s="5" t="s">
        <v>30</v>
      </c>
      <c r="J42" s="5" t="s">
        <v>31</v>
      </c>
      <c r="K42" s="3" t="s">
        <v>32</v>
      </c>
      <c r="L42" s="3" t="s">
        <v>33</v>
      </c>
      <c r="M42" s="5" t="s">
        <v>34</v>
      </c>
    </row>
    <row r="43" spans="1:23" x14ac:dyDescent="0.25">
      <c r="A43" s="6" t="s">
        <v>7</v>
      </c>
      <c r="B43" s="6" t="s">
        <v>47</v>
      </c>
      <c r="C43" s="17" t="s">
        <v>119</v>
      </c>
      <c r="D43" s="12" t="s">
        <v>120</v>
      </c>
      <c r="E43" s="13">
        <v>75</v>
      </c>
      <c r="F43" s="6" t="s">
        <v>42</v>
      </c>
      <c r="G43" s="35">
        <f>0.12+70.45</f>
        <v>70.570000000000007</v>
      </c>
      <c r="H43" s="35">
        <v>22.78</v>
      </c>
      <c r="I43" s="36">
        <f t="shared" ref="I43" si="27">G43+H43</f>
        <v>93.350000000000009</v>
      </c>
      <c r="J43" s="37">
        <v>0.2666</v>
      </c>
      <c r="K43" s="38">
        <f t="shared" ref="K43" si="28">$E43*G43*(1+$J43)</f>
        <v>6703.7971500000012</v>
      </c>
      <c r="L43" s="38">
        <f t="shared" ref="L43" si="29">$E43*H43*(1+$J43)</f>
        <v>2163.9861000000001</v>
      </c>
      <c r="M43" s="38">
        <f t="shared" ref="M43" si="30">$E43*I43*(1+$J43)</f>
        <v>8867.7832500000004</v>
      </c>
      <c r="O43" s="27"/>
      <c r="P43" s="27"/>
      <c r="Q43" s="33">
        <v>0.3</v>
      </c>
      <c r="R43" s="34">
        <f>Q43*$M43</f>
        <v>2660.3349750000002</v>
      </c>
      <c r="S43" s="33">
        <v>0.7</v>
      </c>
      <c r="T43" s="34">
        <f>S43*$M43</f>
        <v>6207.4482749999997</v>
      </c>
      <c r="V43" s="28">
        <f t="shared" ref="V43:V44" si="31">O43+Q43+S43</f>
        <v>1</v>
      </c>
      <c r="W43" s="8">
        <f t="shared" ref="W43:W44" si="32">P43+R43+T43</f>
        <v>8867.7832500000004</v>
      </c>
    </row>
    <row r="44" spans="1:23" x14ac:dyDescent="0.25">
      <c r="A44" s="6"/>
      <c r="B44" s="6"/>
      <c r="C44" s="17"/>
      <c r="D44" s="12"/>
      <c r="E44" s="13"/>
      <c r="F44" s="6"/>
      <c r="G44" s="6"/>
      <c r="H44" s="6"/>
      <c r="I44" s="6"/>
      <c r="J44" s="6"/>
      <c r="K44" s="6"/>
      <c r="L44" s="6"/>
      <c r="M44" s="6"/>
      <c r="V44" s="28">
        <f t="shared" si="31"/>
        <v>0</v>
      </c>
      <c r="W44" s="8">
        <f t="shared" si="32"/>
        <v>0</v>
      </c>
    </row>
    <row r="45" spans="1:23" x14ac:dyDescent="0.25">
      <c r="I45" s="31" t="s">
        <v>35</v>
      </c>
      <c r="J45" s="31"/>
      <c r="K45" s="32">
        <f t="shared" ref="K45:L45" si="33">SUM(K42:K44)</f>
        <v>6703.7971500000012</v>
      </c>
      <c r="L45" s="32">
        <f t="shared" si="33"/>
        <v>2163.9861000000001</v>
      </c>
      <c r="M45" s="32">
        <f>SUM(M42:M44)</f>
        <v>8867.7832500000004</v>
      </c>
      <c r="P45" s="32">
        <f>SUM(P42:P44)</f>
        <v>0</v>
      </c>
      <c r="R45" s="32">
        <f>SUM(R42:R44)</f>
        <v>2660.3349750000002</v>
      </c>
      <c r="T45" s="32">
        <f>SUM(T42:T44)</f>
        <v>6207.4482749999997</v>
      </c>
    </row>
    <row r="46" spans="1:23" ht="15.75" thickBot="1" x14ac:dyDescent="0.3"/>
    <row r="47" spans="1:23" ht="15.75" thickBot="1" x14ac:dyDescent="0.3">
      <c r="A47" s="59" t="s">
        <v>67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O47" s="59"/>
      <c r="P47" s="59"/>
      <c r="Q47" s="59"/>
      <c r="R47" s="59"/>
      <c r="S47" s="59"/>
      <c r="T47" s="59"/>
    </row>
    <row r="48" spans="1:23" x14ac:dyDescent="0.25">
      <c r="A48" s="9" t="s">
        <v>1</v>
      </c>
      <c r="B48" s="10" t="s">
        <v>2</v>
      </c>
      <c r="C48" s="10" t="s">
        <v>3</v>
      </c>
      <c r="D48" s="11" t="s">
        <v>4</v>
      </c>
      <c r="E48" s="4" t="s">
        <v>5</v>
      </c>
      <c r="F48" s="3" t="s">
        <v>6</v>
      </c>
      <c r="G48" s="3" t="s">
        <v>28</v>
      </c>
      <c r="H48" s="3" t="s">
        <v>29</v>
      </c>
      <c r="I48" s="5" t="s">
        <v>30</v>
      </c>
      <c r="J48" s="5" t="s">
        <v>31</v>
      </c>
      <c r="K48" s="3" t="s">
        <v>32</v>
      </c>
      <c r="L48" s="3" t="s">
        <v>33</v>
      </c>
      <c r="M48" s="5" t="s">
        <v>34</v>
      </c>
    </row>
    <row r="49" spans="1:23" ht="30" x14ac:dyDescent="0.25">
      <c r="A49" s="6" t="s">
        <v>7</v>
      </c>
      <c r="B49" s="6" t="s">
        <v>68</v>
      </c>
      <c r="C49" s="17" t="s">
        <v>121</v>
      </c>
      <c r="D49" s="12" t="s">
        <v>69</v>
      </c>
      <c r="E49" s="13">
        <v>17.5</v>
      </c>
      <c r="F49" s="6" t="s">
        <v>42</v>
      </c>
      <c r="G49" s="35">
        <f>0.26+22.95</f>
        <v>23.21</v>
      </c>
      <c r="H49" s="35">
        <v>55.69</v>
      </c>
      <c r="I49" s="36">
        <f t="shared" ref="I49" si="34">G49+H49</f>
        <v>78.900000000000006</v>
      </c>
      <c r="J49" s="37">
        <v>0.2666</v>
      </c>
      <c r="K49" s="38">
        <f t="shared" ref="K49" si="35">$E49*G49*(1+$J49)</f>
        <v>514.46125499999994</v>
      </c>
      <c r="L49" s="38">
        <f t="shared" ref="L49" si="36">$E49*H49*(1+$J49)</f>
        <v>1234.3966949999999</v>
      </c>
      <c r="M49" s="38">
        <f t="shared" ref="M49" si="37">$E49*I49*(1+$J49)</f>
        <v>1748.8579499999998</v>
      </c>
      <c r="O49" s="33">
        <v>1</v>
      </c>
      <c r="P49" s="34">
        <f>O49*$M49</f>
        <v>1748.8579499999998</v>
      </c>
      <c r="Q49" s="27"/>
      <c r="R49" s="27"/>
      <c r="S49" s="27"/>
      <c r="T49" s="27"/>
      <c r="V49" s="28">
        <f t="shared" ref="V49:V69" si="38">O49+Q49+S49</f>
        <v>1</v>
      </c>
      <c r="W49" s="8">
        <f t="shared" ref="W49:W69" si="39">P49+R49+T49</f>
        <v>1748.8579499999998</v>
      </c>
    </row>
    <row r="50" spans="1:23" ht="30" x14ac:dyDescent="0.25">
      <c r="A50" s="6" t="s">
        <v>7</v>
      </c>
      <c r="B50" s="6" t="s">
        <v>70</v>
      </c>
      <c r="C50" s="17" t="s">
        <v>122</v>
      </c>
      <c r="D50" s="12" t="s">
        <v>71</v>
      </c>
      <c r="E50" s="13">
        <v>22.5</v>
      </c>
      <c r="F50" s="6" t="s">
        <v>41</v>
      </c>
      <c r="G50" s="35">
        <f>0.01+4.89</f>
        <v>4.8999999999999995</v>
      </c>
      <c r="H50" s="35">
        <v>3.69</v>
      </c>
      <c r="I50" s="36">
        <f t="shared" ref="I50:I69" si="40">G50+H50</f>
        <v>8.59</v>
      </c>
      <c r="J50" s="37">
        <v>0.2666</v>
      </c>
      <c r="K50" s="38">
        <f t="shared" ref="K50:K69" si="41">$E50*G50*(1+$J50)</f>
        <v>139.64264999999997</v>
      </c>
      <c r="L50" s="38">
        <f t="shared" ref="L50:L69" si="42">$E50*H50*(1+$J50)</f>
        <v>105.159465</v>
      </c>
      <c r="M50" s="38">
        <f t="shared" ref="M50:M69" si="43">$E50*I50*(1+$J50)</f>
        <v>244.80211499999999</v>
      </c>
      <c r="O50" s="33">
        <v>1</v>
      </c>
      <c r="P50" s="34">
        <f t="shared" ref="P50:R57" si="44">O50*$M50</f>
        <v>244.80211499999999</v>
      </c>
      <c r="Q50" s="27"/>
      <c r="R50" s="27"/>
      <c r="S50" s="27"/>
      <c r="T50" s="27"/>
      <c r="V50" s="28">
        <f t="shared" si="38"/>
        <v>1</v>
      </c>
      <c r="W50" s="8">
        <f t="shared" si="39"/>
        <v>244.80211499999999</v>
      </c>
    </row>
    <row r="51" spans="1:23" x14ac:dyDescent="0.25">
      <c r="A51" s="6" t="s">
        <v>7</v>
      </c>
      <c r="B51" s="6" t="s">
        <v>72</v>
      </c>
      <c r="C51" s="17" t="s">
        <v>124</v>
      </c>
      <c r="D51" s="12" t="s">
        <v>55</v>
      </c>
      <c r="E51" s="13">
        <v>6</v>
      </c>
      <c r="F51" s="6" t="s">
        <v>42</v>
      </c>
      <c r="G51" s="35">
        <f>0.03+8.45</f>
        <v>8.4799999999999986</v>
      </c>
      <c r="H51" s="35">
        <v>11.49</v>
      </c>
      <c r="I51" s="36">
        <f t="shared" si="40"/>
        <v>19.97</v>
      </c>
      <c r="J51" s="37">
        <v>0.2666</v>
      </c>
      <c r="K51" s="38">
        <f t="shared" si="41"/>
        <v>64.444607999999988</v>
      </c>
      <c r="L51" s="38">
        <f t="shared" si="42"/>
        <v>87.319403999999992</v>
      </c>
      <c r="M51" s="38">
        <f t="shared" si="43"/>
        <v>151.76401199999998</v>
      </c>
      <c r="O51" s="33">
        <v>1</v>
      </c>
      <c r="P51" s="34">
        <f t="shared" si="44"/>
        <v>151.76401199999998</v>
      </c>
      <c r="Q51" s="27"/>
      <c r="R51" s="27"/>
      <c r="S51" s="27"/>
      <c r="T51" s="27"/>
      <c r="V51" s="28">
        <f t="shared" si="38"/>
        <v>1</v>
      </c>
      <c r="W51" s="8">
        <f t="shared" si="39"/>
        <v>151.76401199999998</v>
      </c>
    </row>
    <row r="52" spans="1:23" ht="45" x14ac:dyDescent="0.25">
      <c r="A52" s="6" t="s">
        <v>7</v>
      </c>
      <c r="B52" s="6" t="s">
        <v>73</v>
      </c>
      <c r="C52" s="17" t="s">
        <v>125</v>
      </c>
      <c r="D52" s="12" t="s">
        <v>74</v>
      </c>
      <c r="E52" s="13">
        <v>12</v>
      </c>
      <c r="F52" s="6" t="s">
        <v>41</v>
      </c>
      <c r="G52" s="35">
        <f>0.06+20.29+0.02</f>
        <v>20.369999999999997</v>
      </c>
      <c r="H52" s="35">
        <v>19.05</v>
      </c>
      <c r="I52" s="36">
        <f t="shared" si="40"/>
        <v>39.42</v>
      </c>
      <c r="J52" s="37">
        <v>0.2666</v>
      </c>
      <c r="K52" s="38">
        <f t="shared" si="41"/>
        <v>309.60770399999996</v>
      </c>
      <c r="L52" s="38">
        <f t="shared" si="42"/>
        <v>289.54476</v>
      </c>
      <c r="M52" s="38">
        <f t="shared" si="43"/>
        <v>599.15246400000001</v>
      </c>
      <c r="O52" s="33">
        <v>1</v>
      </c>
      <c r="P52" s="34">
        <f t="shared" si="44"/>
        <v>599.15246400000001</v>
      </c>
      <c r="Q52" s="27"/>
      <c r="R52" s="27"/>
      <c r="S52" s="27"/>
      <c r="T52" s="27"/>
      <c r="V52" s="28">
        <f t="shared" ref="V52:V68" si="45">O52+Q52+S52</f>
        <v>1</v>
      </c>
      <c r="W52" s="8">
        <f t="shared" ref="W52:W68" si="46">P52+R52+T52</f>
        <v>599.15246400000001</v>
      </c>
    </row>
    <row r="53" spans="1:23" ht="45" x14ac:dyDescent="0.25">
      <c r="A53" s="6" t="s">
        <v>7</v>
      </c>
      <c r="B53" s="6" t="s">
        <v>75</v>
      </c>
      <c r="C53" s="17" t="s">
        <v>126</v>
      </c>
      <c r="D53" s="12" t="s">
        <v>76</v>
      </c>
      <c r="E53" s="13">
        <v>9</v>
      </c>
      <c r="F53" s="6" t="s">
        <v>41</v>
      </c>
      <c r="G53" s="35">
        <f>0.18+35.32+0.13</f>
        <v>35.630000000000003</v>
      </c>
      <c r="H53" s="35">
        <v>46.2</v>
      </c>
      <c r="I53" s="36">
        <f t="shared" si="40"/>
        <v>81.830000000000013</v>
      </c>
      <c r="J53" s="37">
        <v>0.2666</v>
      </c>
      <c r="K53" s="38">
        <f t="shared" si="41"/>
        <v>406.16062199999999</v>
      </c>
      <c r="L53" s="38">
        <f t="shared" si="42"/>
        <v>526.65228000000002</v>
      </c>
      <c r="M53" s="38">
        <f t="shared" si="43"/>
        <v>932.81290200000012</v>
      </c>
      <c r="O53" s="33">
        <v>1</v>
      </c>
      <c r="P53" s="34">
        <f t="shared" si="44"/>
        <v>932.81290200000012</v>
      </c>
      <c r="Q53" s="27"/>
      <c r="R53" s="27"/>
      <c r="S53" s="27"/>
      <c r="T53" s="27"/>
      <c r="V53" s="28">
        <f t="shared" si="45"/>
        <v>1</v>
      </c>
      <c r="W53" s="8">
        <f t="shared" si="46"/>
        <v>932.81290200000012</v>
      </c>
    </row>
    <row r="54" spans="1:23" ht="30" x14ac:dyDescent="0.25">
      <c r="A54" s="6" t="s">
        <v>7</v>
      </c>
      <c r="B54" s="6" t="s">
        <v>77</v>
      </c>
      <c r="C54" s="17" t="s">
        <v>127</v>
      </c>
      <c r="D54" s="12" t="s">
        <v>78</v>
      </c>
      <c r="E54" s="13">
        <v>35</v>
      </c>
      <c r="F54" s="6" t="s">
        <v>39</v>
      </c>
      <c r="G54" s="35">
        <v>7.63</v>
      </c>
      <c r="H54" s="35">
        <v>2.84</v>
      </c>
      <c r="I54" s="36">
        <f t="shared" si="40"/>
        <v>10.469999999999999</v>
      </c>
      <c r="J54" s="37">
        <v>0.2666</v>
      </c>
      <c r="K54" s="38">
        <f t="shared" si="41"/>
        <v>338.24552999999997</v>
      </c>
      <c r="L54" s="38">
        <f t="shared" si="42"/>
        <v>125.90003999999999</v>
      </c>
      <c r="M54" s="38">
        <f t="shared" si="43"/>
        <v>464.14556999999991</v>
      </c>
      <c r="O54" s="33">
        <v>1</v>
      </c>
      <c r="P54" s="34">
        <f t="shared" si="44"/>
        <v>464.14556999999991</v>
      </c>
      <c r="Q54" s="27"/>
      <c r="R54" s="27"/>
      <c r="S54" s="27"/>
      <c r="T54" s="27"/>
      <c r="V54" s="28">
        <f t="shared" si="45"/>
        <v>1</v>
      </c>
      <c r="W54" s="8">
        <f t="shared" si="46"/>
        <v>464.14556999999991</v>
      </c>
    </row>
    <row r="55" spans="1:23" ht="45" x14ac:dyDescent="0.25">
      <c r="A55" s="6" t="s">
        <v>7</v>
      </c>
      <c r="B55" s="6" t="s">
        <v>79</v>
      </c>
      <c r="C55" s="17" t="s">
        <v>128</v>
      </c>
      <c r="D55" s="12" t="s">
        <v>80</v>
      </c>
      <c r="E55" s="13">
        <v>1.5</v>
      </c>
      <c r="F55" s="6" t="s">
        <v>42</v>
      </c>
      <c r="G55" s="35">
        <f>2.51+332.21+1.2</f>
        <v>335.91999999999996</v>
      </c>
      <c r="H55" s="35">
        <v>94.07</v>
      </c>
      <c r="I55" s="36">
        <f t="shared" si="40"/>
        <v>429.98999999999995</v>
      </c>
      <c r="J55" s="37">
        <v>0.2666</v>
      </c>
      <c r="K55" s="38">
        <f t="shared" si="41"/>
        <v>638.21440799999993</v>
      </c>
      <c r="L55" s="38">
        <f t="shared" si="42"/>
        <v>178.72359299999999</v>
      </c>
      <c r="M55" s="38">
        <f t="shared" si="43"/>
        <v>816.93800099999987</v>
      </c>
      <c r="O55" s="33">
        <v>1</v>
      </c>
      <c r="P55" s="34">
        <f t="shared" si="44"/>
        <v>816.93800099999987</v>
      </c>
      <c r="Q55" s="27"/>
      <c r="R55" s="27"/>
      <c r="S55" s="27"/>
      <c r="T55" s="27"/>
      <c r="V55" s="28">
        <f t="shared" si="45"/>
        <v>1</v>
      </c>
      <c r="W55" s="8">
        <f t="shared" si="46"/>
        <v>816.93800099999987</v>
      </c>
    </row>
    <row r="56" spans="1:23" ht="30" x14ac:dyDescent="0.25">
      <c r="A56" s="6" t="s">
        <v>7</v>
      </c>
      <c r="B56" s="6" t="s">
        <v>81</v>
      </c>
      <c r="C56" s="17" t="s">
        <v>129</v>
      </c>
      <c r="D56" s="12" t="s">
        <v>82</v>
      </c>
      <c r="E56" s="13">
        <v>28</v>
      </c>
      <c r="F56" s="6" t="s">
        <v>40</v>
      </c>
      <c r="G56" s="35">
        <f>0.01+21.6+0.02</f>
        <v>21.630000000000003</v>
      </c>
      <c r="H56" s="35">
        <v>8.4700000000000006</v>
      </c>
      <c r="I56" s="36">
        <f t="shared" si="40"/>
        <v>30.1</v>
      </c>
      <c r="J56" s="37">
        <v>0.2666</v>
      </c>
      <c r="K56" s="38">
        <f t="shared" si="41"/>
        <v>767.10362400000008</v>
      </c>
      <c r="L56" s="38">
        <f t="shared" si="42"/>
        <v>300.38685600000002</v>
      </c>
      <c r="M56" s="38">
        <f t="shared" si="43"/>
        <v>1067.4904799999999</v>
      </c>
      <c r="O56" s="33">
        <v>1</v>
      </c>
      <c r="P56" s="34">
        <f t="shared" si="44"/>
        <v>1067.4904799999999</v>
      </c>
      <c r="Q56" s="27"/>
      <c r="R56" s="27"/>
      <c r="S56" s="27"/>
      <c r="T56" s="27"/>
      <c r="V56" s="28">
        <f t="shared" si="45"/>
        <v>1</v>
      </c>
      <c r="W56" s="8">
        <f t="shared" si="46"/>
        <v>1067.4904799999999</v>
      </c>
    </row>
    <row r="57" spans="1:23" ht="60" x14ac:dyDescent="0.25">
      <c r="A57" s="6" t="s">
        <v>7</v>
      </c>
      <c r="B57" s="6" t="s">
        <v>83</v>
      </c>
      <c r="C57" s="17" t="s">
        <v>130</v>
      </c>
      <c r="D57" s="12" t="s">
        <v>84</v>
      </c>
      <c r="E57" s="13">
        <v>70</v>
      </c>
      <c r="F57" s="6" t="s">
        <v>41</v>
      </c>
      <c r="G57" s="35">
        <f>0.01+26.17</f>
        <v>26.180000000000003</v>
      </c>
      <c r="H57" s="35">
        <v>8.83</v>
      </c>
      <c r="I57" s="36">
        <f t="shared" si="40"/>
        <v>35.010000000000005</v>
      </c>
      <c r="J57" s="37">
        <v>0.2666</v>
      </c>
      <c r="K57" s="38">
        <f t="shared" si="41"/>
        <v>2321.1711599999999</v>
      </c>
      <c r="L57" s="38">
        <f t="shared" si="42"/>
        <v>782.88545999999997</v>
      </c>
      <c r="M57" s="38">
        <f t="shared" si="43"/>
        <v>3104.0566200000003</v>
      </c>
      <c r="O57" s="33">
        <v>0.5</v>
      </c>
      <c r="P57" s="34">
        <f t="shared" si="44"/>
        <v>1552.0283100000001</v>
      </c>
      <c r="Q57" s="33">
        <v>0.5</v>
      </c>
      <c r="R57" s="34">
        <f t="shared" si="44"/>
        <v>1552.0283100000001</v>
      </c>
      <c r="S57" s="27"/>
      <c r="T57" s="27"/>
      <c r="V57" s="28">
        <f t="shared" si="45"/>
        <v>1</v>
      </c>
      <c r="W57" s="8">
        <f t="shared" si="46"/>
        <v>3104.0566200000003</v>
      </c>
    </row>
    <row r="58" spans="1:23" ht="60" x14ac:dyDescent="0.25">
      <c r="A58" s="6" t="s">
        <v>7</v>
      </c>
      <c r="B58" s="6" t="s">
        <v>85</v>
      </c>
      <c r="C58" s="17" t="s">
        <v>131</v>
      </c>
      <c r="D58" s="12" t="s">
        <v>86</v>
      </c>
      <c r="E58" s="13">
        <v>140</v>
      </c>
      <c r="F58" s="6" t="s">
        <v>41</v>
      </c>
      <c r="G58" s="35">
        <v>1.86</v>
      </c>
      <c r="H58" s="35">
        <v>2.64</v>
      </c>
      <c r="I58" s="36">
        <f t="shared" si="40"/>
        <v>4.5</v>
      </c>
      <c r="J58" s="37">
        <v>0.2666</v>
      </c>
      <c r="K58" s="38">
        <f t="shared" si="41"/>
        <v>329.82264000000004</v>
      </c>
      <c r="L58" s="38">
        <f t="shared" si="42"/>
        <v>468.13535999999999</v>
      </c>
      <c r="M58" s="38">
        <f t="shared" si="43"/>
        <v>797.95799999999997</v>
      </c>
      <c r="O58" s="27"/>
      <c r="P58" s="27"/>
      <c r="Q58" s="33">
        <v>1</v>
      </c>
      <c r="R58" s="34">
        <f t="shared" ref="R58:R60" si="47">Q58*$M58</f>
        <v>797.95799999999997</v>
      </c>
      <c r="S58" s="27"/>
      <c r="T58" s="27"/>
      <c r="V58" s="28">
        <f t="shared" si="45"/>
        <v>1</v>
      </c>
      <c r="W58" s="8">
        <f t="shared" si="46"/>
        <v>797.95799999999997</v>
      </c>
    </row>
    <row r="59" spans="1:23" ht="75" x14ac:dyDescent="0.25">
      <c r="A59" s="6" t="s">
        <v>7</v>
      </c>
      <c r="B59" s="6" t="s">
        <v>87</v>
      </c>
      <c r="C59" s="17" t="s">
        <v>132</v>
      </c>
      <c r="D59" s="12" t="s">
        <v>88</v>
      </c>
      <c r="E59" s="13">
        <v>11.25</v>
      </c>
      <c r="F59" s="6" t="s">
        <v>89</v>
      </c>
      <c r="G59" s="35">
        <f>8.73+8.46</f>
        <v>17.190000000000001</v>
      </c>
      <c r="H59" s="35">
        <v>12.72</v>
      </c>
      <c r="I59" s="36">
        <f t="shared" si="40"/>
        <v>29.910000000000004</v>
      </c>
      <c r="J59" s="37">
        <v>0.2666</v>
      </c>
      <c r="K59" s="38">
        <f t="shared" si="41"/>
        <v>244.94460750000002</v>
      </c>
      <c r="L59" s="38">
        <f t="shared" si="42"/>
        <v>181.25045999999998</v>
      </c>
      <c r="M59" s="38">
        <f t="shared" si="43"/>
        <v>426.19506750000005</v>
      </c>
      <c r="O59" s="27"/>
      <c r="P59" s="27"/>
      <c r="Q59" s="33">
        <v>1</v>
      </c>
      <c r="R59" s="34">
        <f t="shared" si="47"/>
        <v>426.19506750000005</v>
      </c>
      <c r="S59" s="27"/>
      <c r="T59" s="27"/>
      <c r="V59" s="28">
        <f t="shared" si="45"/>
        <v>1</v>
      </c>
      <c r="W59" s="8">
        <f t="shared" si="46"/>
        <v>426.19506750000005</v>
      </c>
    </row>
    <row r="60" spans="1:23" ht="60" x14ac:dyDescent="0.25">
      <c r="A60" s="6" t="s">
        <v>7</v>
      </c>
      <c r="B60" s="6" t="s">
        <v>90</v>
      </c>
      <c r="C60" s="17" t="s">
        <v>133</v>
      </c>
      <c r="D60" s="12" t="s">
        <v>91</v>
      </c>
      <c r="E60" s="13">
        <v>30</v>
      </c>
      <c r="F60" s="6" t="s">
        <v>39</v>
      </c>
      <c r="G60" s="35">
        <v>7.62</v>
      </c>
      <c r="H60" s="35">
        <v>2.89</v>
      </c>
      <c r="I60" s="36">
        <f t="shared" si="40"/>
        <v>10.51</v>
      </c>
      <c r="J60" s="37">
        <v>0.2666</v>
      </c>
      <c r="K60" s="38">
        <f t="shared" si="41"/>
        <v>289.54476</v>
      </c>
      <c r="L60" s="38">
        <f t="shared" si="42"/>
        <v>109.81422000000001</v>
      </c>
      <c r="M60" s="38">
        <f t="shared" si="43"/>
        <v>399.35897999999997</v>
      </c>
      <c r="O60" s="27"/>
      <c r="P60" s="27"/>
      <c r="Q60" s="33">
        <v>1</v>
      </c>
      <c r="R60" s="34">
        <f t="shared" si="47"/>
        <v>399.35897999999997</v>
      </c>
      <c r="S60" s="27"/>
      <c r="T60" s="27"/>
      <c r="V60" s="28">
        <f t="shared" si="45"/>
        <v>1</v>
      </c>
      <c r="W60" s="8">
        <f t="shared" si="46"/>
        <v>399.35897999999997</v>
      </c>
    </row>
    <row r="61" spans="1:23" ht="60" x14ac:dyDescent="0.25">
      <c r="A61" s="6" t="s">
        <v>7</v>
      </c>
      <c r="B61" s="6" t="s">
        <v>92</v>
      </c>
      <c r="C61" s="17" t="s">
        <v>134</v>
      </c>
      <c r="D61" s="12" t="s">
        <v>93</v>
      </c>
      <c r="E61" s="13">
        <v>0.9</v>
      </c>
      <c r="F61" s="6" t="s">
        <v>42</v>
      </c>
      <c r="G61" s="35">
        <f>1.17+294.14+0.44</f>
        <v>295.75</v>
      </c>
      <c r="H61" s="35">
        <v>95.44</v>
      </c>
      <c r="I61" s="36">
        <f t="shared" si="40"/>
        <v>391.19</v>
      </c>
      <c r="J61" s="37">
        <v>0.2666</v>
      </c>
      <c r="K61" s="38">
        <f t="shared" si="41"/>
        <v>337.13725499999998</v>
      </c>
      <c r="L61" s="38">
        <f t="shared" si="42"/>
        <v>108.79587359999999</v>
      </c>
      <c r="M61" s="38">
        <f t="shared" si="43"/>
        <v>445.93312860000003</v>
      </c>
      <c r="O61" s="27"/>
      <c r="P61" s="27"/>
      <c r="Q61" s="33">
        <v>1</v>
      </c>
      <c r="R61" s="34">
        <f t="shared" ref="R61:R62" si="48">Q61*$M61</f>
        <v>445.93312860000003</v>
      </c>
      <c r="S61" s="27"/>
      <c r="T61" s="27"/>
      <c r="V61" s="28">
        <f t="shared" si="45"/>
        <v>1</v>
      </c>
      <c r="W61" s="8">
        <f t="shared" si="46"/>
        <v>445.93312860000003</v>
      </c>
    </row>
    <row r="62" spans="1:23" ht="45" x14ac:dyDescent="0.25">
      <c r="A62" s="6" t="s">
        <v>7</v>
      </c>
      <c r="B62" s="6" t="s">
        <v>94</v>
      </c>
      <c r="C62" s="17" t="s">
        <v>135</v>
      </c>
      <c r="D62" s="12" t="s">
        <v>95</v>
      </c>
      <c r="E62" s="13">
        <v>1</v>
      </c>
      <c r="F62" s="6" t="s">
        <v>42</v>
      </c>
      <c r="G62" s="35">
        <f>0.54+191.11+0.52</f>
        <v>192.17000000000002</v>
      </c>
      <c r="H62" s="35">
        <v>44.74</v>
      </c>
      <c r="I62" s="36">
        <f t="shared" si="40"/>
        <v>236.91000000000003</v>
      </c>
      <c r="J62" s="37">
        <v>0.2666</v>
      </c>
      <c r="K62" s="38">
        <f t="shared" si="41"/>
        <v>243.402522</v>
      </c>
      <c r="L62" s="38">
        <f t="shared" si="42"/>
        <v>56.667684000000001</v>
      </c>
      <c r="M62" s="38">
        <f t="shared" si="43"/>
        <v>300.07020600000004</v>
      </c>
      <c r="O62" s="27"/>
      <c r="P62" s="27"/>
      <c r="Q62" s="33">
        <v>1</v>
      </c>
      <c r="R62" s="34">
        <f t="shared" si="48"/>
        <v>300.07020600000004</v>
      </c>
      <c r="S62" s="27"/>
      <c r="T62" s="27"/>
      <c r="V62" s="28">
        <f t="shared" si="45"/>
        <v>1</v>
      </c>
      <c r="W62" s="8">
        <f t="shared" si="46"/>
        <v>300.07020600000004</v>
      </c>
    </row>
    <row r="63" spans="1:23" ht="60" x14ac:dyDescent="0.25">
      <c r="A63" s="6" t="s">
        <v>7</v>
      </c>
      <c r="B63" s="6" t="s">
        <v>96</v>
      </c>
      <c r="C63" s="17" t="s">
        <v>136</v>
      </c>
      <c r="D63" s="12" t="s">
        <v>97</v>
      </c>
      <c r="E63" s="13">
        <v>140</v>
      </c>
      <c r="F63" s="6" t="s">
        <v>89</v>
      </c>
      <c r="G63" s="35">
        <f>0.02+15.13</f>
        <v>15.15</v>
      </c>
      <c r="H63" s="35">
        <v>11.34</v>
      </c>
      <c r="I63" s="36">
        <f t="shared" si="40"/>
        <v>26.490000000000002</v>
      </c>
      <c r="J63" s="37">
        <v>0.2666</v>
      </c>
      <c r="K63" s="38">
        <f t="shared" si="41"/>
        <v>2686.4585999999999</v>
      </c>
      <c r="L63" s="38">
        <f t="shared" si="42"/>
        <v>2010.8541599999999</v>
      </c>
      <c r="M63" s="38">
        <f t="shared" si="43"/>
        <v>4697.3127600000007</v>
      </c>
      <c r="O63" s="27"/>
      <c r="P63" s="27"/>
      <c r="Q63" s="33">
        <v>1</v>
      </c>
      <c r="R63" s="34">
        <f t="shared" ref="R63" si="49">Q63*$M63</f>
        <v>4697.3127600000007</v>
      </c>
      <c r="S63" s="27"/>
      <c r="T63" s="27"/>
      <c r="V63" s="28">
        <f t="shared" si="45"/>
        <v>1</v>
      </c>
      <c r="W63" s="8">
        <f t="shared" si="46"/>
        <v>4697.3127600000007</v>
      </c>
    </row>
    <row r="64" spans="1:23" ht="30" x14ac:dyDescent="0.25">
      <c r="A64" s="6" t="s">
        <v>7</v>
      </c>
      <c r="B64" s="6" t="s">
        <v>98</v>
      </c>
      <c r="C64" s="17" t="s">
        <v>137</v>
      </c>
      <c r="D64" s="12" t="s">
        <v>99</v>
      </c>
      <c r="E64" s="13">
        <v>140</v>
      </c>
      <c r="F64" s="6" t="s">
        <v>41</v>
      </c>
      <c r="G64" s="35">
        <v>1.26</v>
      </c>
      <c r="H64" s="35">
        <v>0.61</v>
      </c>
      <c r="I64" s="36">
        <f t="shared" si="40"/>
        <v>1.87</v>
      </c>
      <c r="J64" s="37">
        <v>0.2666</v>
      </c>
      <c r="K64" s="38">
        <f t="shared" si="41"/>
        <v>223.42823999999999</v>
      </c>
      <c r="L64" s="38">
        <f t="shared" si="42"/>
        <v>108.16763999999999</v>
      </c>
      <c r="M64" s="38">
        <f t="shared" si="43"/>
        <v>331.59588000000002</v>
      </c>
      <c r="O64" s="27"/>
      <c r="P64" s="27"/>
      <c r="Q64" s="27"/>
      <c r="R64" s="27"/>
      <c r="S64" s="33">
        <v>1</v>
      </c>
      <c r="T64" s="34">
        <f t="shared" ref="T64:T66" si="50">S64*$M64</f>
        <v>331.59588000000002</v>
      </c>
      <c r="V64" s="28">
        <f t="shared" si="45"/>
        <v>1</v>
      </c>
      <c r="W64" s="8">
        <f t="shared" si="46"/>
        <v>331.59588000000002</v>
      </c>
    </row>
    <row r="65" spans="1:23" ht="30" x14ac:dyDescent="0.25">
      <c r="A65" s="6" t="s">
        <v>7</v>
      </c>
      <c r="B65" s="6" t="s">
        <v>98</v>
      </c>
      <c r="C65" s="17" t="s">
        <v>138</v>
      </c>
      <c r="D65" s="12" t="s">
        <v>100</v>
      </c>
      <c r="E65" s="13">
        <v>140</v>
      </c>
      <c r="F65" s="6" t="s">
        <v>41</v>
      </c>
      <c r="G65" s="35">
        <f>0.02+11.25</f>
        <v>11.27</v>
      </c>
      <c r="H65" s="35">
        <v>8.31</v>
      </c>
      <c r="I65" s="36">
        <f t="shared" si="40"/>
        <v>19.579999999999998</v>
      </c>
      <c r="J65" s="37">
        <v>0.2666</v>
      </c>
      <c r="K65" s="38">
        <f t="shared" si="41"/>
        <v>1998.44148</v>
      </c>
      <c r="L65" s="38">
        <f t="shared" si="42"/>
        <v>1473.5624400000002</v>
      </c>
      <c r="M65" s="38">
        <f t="shared" si="43"/>
        <v>3472.0039199999997</v>
      </c>
      <c r="O65" s="27"/>
      <c r="P65" s="27"/>
      <c r="Q65" s="27"/>
      <c r="R65" s="27"/>
      <c r="S65" s="33">
        <v>1</v>
      </c>
      <c r="T65" s="34">
        <f t="shared" si="50"/>
        <v>3472.0039199999997</v>
      </c>
      <c r="V65" s="28">
        <f t="shared" si="45"/>
        <v>1</v>
      </c>
      <c r="W65" s="8">
        <f t="shared" si="46"/>
        <v>3472.0039199999997</v>
      </c>
    </row>
    <row r="66" spans="1:23" ht="30" x14ac:dyDescent="0.25">
      <c r="A66" s="6" t="s">
        <v>7</v>
      </c>
      <c r="B66" s="6" t="s">
        <v>101</v>
      </c>
      <c r="C66" s="17" t="s">
        <v>139</v>
      </c>
      <c r="D66" s="12" t="s">
        <v>102</v>
      </c>
      <c r="E66" s="13">
        <v>140</v>
      </c>
      <c r="F66" s="6" t="s">
        <v>42</v>
      </c>
      <c r="G66" s="35">
        <v>7.02</v>
      </c>
      <c r="H66" s="35">
        <v>2.93</v>
      </c>
      <c r="I66" s="36">
        <f t="shared" si="40"/>
        <v>9.9499999999999993</v>
      </c>
      <c r="J66" s="37">
        <v>0.2666</v>
      </c>
      <c r="K66" s="38">
        <f t="shared" si="41"/>
        <v>1244.81448</v>
      </c>
      <c r="L66" s="38">
        <f t="shared" si="42"/>
        <v>519.55932000000007</v>
      </c>
      <c r="M66" s="38">
        <f t="shared" si="43"/>
        <v>1764.3737999999998</v>
      </c>
      <c r="O66" s="27"/>
      <c r="P66" s="27"/>
      <c r="Q66" s="27"/>
      <c r="R66" s="27"/>
      <c r="S66" s="33">
        <v>1</v>
      </c>
      <c r="T66" s="34">
        <f t="shared" si="50"/>
        <v>1764.3737999999998</v>
      </c>
      <c r="V66" s="28">
        <f t="shared" si="45"/>
        <v>1</v>
      </c>
      <c r="W66" s="8">
        <f t="shared" si="46"/>
        <v>1764.3737999999998</v>
      </c>
    </row>
    <row r="67" spans="1:23" x14ac:dyDescent="0.25">
      <c r="A67" s="6" t="s">
        <v>7</v>
      </c>
      <c r="B67" s="6" t="s">
        <v>103</v>
      </c>
      <c r="C67" s="17" t="s">
        <v>140</v>
      </c>
      <c r="D67" s="12" t="s">
        <v>104</v>
      </c>
      <c r="E67" s="13">
        <v>11</v>
      </c>
      <c r="F67" s="6" t="s">
        <v>41</v>
      </c>
      <c r="G67" s="35">
        <f>0.14+373.6</f>
        <v>373.74</v>
      </c>
      <c r="H67" s="35">
        <v>31.97</v>
      </c>
      <c r="I67" s="36">
        <f t="shared" si="40"/>
        <v>405.71000000000004</v>
      </c>
      <c r="J67" s="37">
        <v>0.2666</v>
      </c>
      <c r="K67" s="38">
        <f t="shared" si="41"/>
        <v>5207.1699239999998</v>
      </c>
      <c r="L67" s="38">
        <f t="shared" si="42"/>
        <v>445.42522199999991</v>
      </c>
      <c r="M67" s="38">
        <f t="shared" si="43"/>
        <v>5652.5951460000006</v>
      </c>
      <c r="O67" s="27"/>
      <c r="P67" s="27"/>
      <c r="Q67" s="27"/>
      <c r="R67" s="27"/>
      <c r="S67" s="33">
        <v>1</v>
      </c>
      <c r="T67" s="34">
        <f t="shared" ref="T67:T69" si="51">S67*$M67</f>
        <v>5652.5951460000006</v>
      </c>
      <c r="V67" s="28">
        <f t="shared" si="45"/>
        <v>1</v>
      </c>
      <c r="W67" s="8">
        <f t="shared" si="46"/>
        <v>5652.5951460000006</v>
      </c>
    </row>
    <row r="68" spans="1:23" ht="45" x14ac:dyDescent="0.25">
      <c r="A68" s="6" t="s">
        <v>7</v>
      </c>
      <c r="B68" s="6" t="s">
        <v>114</v>
      </c>
      <c r="C68" s="17" t="s">
        <v>115</v>
      </c>
      <c r="D68" s="12" t="s">
        <v>45</v>
      </c>
      <c r="E68" s="13">
        <v>3</v>
      </c>
      <c r="F68" s="6" t="s">
        <v>46</v>
      </c>
      <c r="G68" s="35">
        <v>117.13</v>
      </c>
      <c r="H68" s="35">
        <v>0</v>
      </c>
      <c r="I68" s="36">
        <f t="shared" si="40"/>
        <v>117.13</v>
      </c>
      <c r="J68" s="37">
        <v>0.2666</v>
      </c>
      <c r="K68" s="38">
        <f t="shared" si="41"/>
        <v>445.07057399999997</v>
      </c>
      <c r="L68" s="38">
        <f t="shared" si="42"/>
        <v>0</v>
      </c>
      <c r="M68" s="38">
        <f t="shared" si="43"/>
        <v>445.07057399999997</v>
      </c>
      <c r="O68" s="27"/>
      <c r="P68" s="27"/>
      <c r="Q68" s="27"/>
      <c r="R68" s="27"/>
      <c r="S68" s="33">
        <v>1</v>
      </c>
      <c r="T68" s="34">
        <f t="shared" ref="T68" si="52">S68*$M68</f>
        <v>445.07057399999997</v>
      </c>
      <c r="V68" s="28">
        <f t="shared" si="45"/>
        <v>1</v>
      </c>
      <c r="W68" s="8">
        <f t="shared" si="46"/>
        <v>445.07057399999997</v>
      </c>
    </row>
    <row r="69" spans="1:23" ht="30" x14ac:dyDescent="0.25">
      <c r="A69" s="41" t="s">
        <v>7</v>
      </c>
      <c r="B69" s="41" t="s">
        <v>116</v>
      </c>
      <c r="C69" s="42" t="s">
        <v>117</v>
      </c>
      <c r="D69" s="12" t="s">
        <v>118</v>
      </c>
      <c r="E69" s="13">
        <v>3</v>
      </c>
      <c r="F69" s="6" t="s">
        <v>46</v>
      </c>
      <c r="G69" s="35">
        <v>3.76</v>
      </c>
      <c r="H69" s="35">
        <v>17.82</v>
      </c>
      <c r="I69" s="36">
        <f t="shared" si="40"/>
        <v>21.58</v>
      </c>
      <c r="J69" s="37">
        <v>0.2666</v>
      </c>
      <c r="K69" s="38">
        <f t="shared" si="41"/>
        <v>14.287247999999998</v>
      </c>
      <c r="L69" s="38">
        <f t="shared" si="42"/>
        <v>67.712435999999997</v>
      </c>
      <c r="M69" s="38">
        <f t="shared" si="43"/>
        <v>81.999683999999988</v>
      </c>
      <c r="O69" s="27"/>
      <c r="P69" s="27"/>
      <c r="Q69" s="27"/>
      <c r="R69" s="27"/>
      <c r="S69" s="33">
        <v>1</v>
      </c>
      <c r="T69" s="34">
        <f t="shared" si="51"/>
        <v>81.999683999999988</v>
      </c>
      <c r="V69" s="28">
        <f t="shared" si="38"/>
        <v>1</v>
      </c>
      <c r="W69" s="8">
        <f t="shared" si="39"/>
        <v>81.999683999999988</v>
      </c>
    </row>
    <row r="70" spans="1:23" x14ac:dyDescent="0.25">
      <c r="I70" s="31" t="s">
        <v>35</v>
      </c>
      <c r="J70" s="31"/>
      <c r="K70" s="32">
        <f t="shared" ref="K70:L70" si="53">SUM(K49:K69)</f>
        <v>18763.5738915</v>
      </c>
      <c r="L70" s="32">
        <f t="shared" si="53"/>
        <v>9180.9133686000005</v>
      </c>
      <c r="M70" s="32">
        <f>SUM(M49:M69)</f>
        <v>27944.487260099999</v>
      </c>
      <c r="P70" s="32">
        <f>SUM(P49:P69)</f>
        <v>7577.9918039999993</v>
      </c>
      <c r="R70" s="32">
        <f>SUM(R49:R69)</f>
        <v>8618.8564521000008</v>
      </c>
      <c r="T70" s="32">
        <f>SUM(T49:T69)</f>
        <v>11747.639004000001</v>
      </c>
    </row>
    <row r="71" spans="1:23" ht="15.75" thickBot="1" x14ac:dyDescent="0.3"/>
    <row r="72" spans="1:23" ht="15.75" thickBot="1" x14ac:dyDescent="0.3">
      <c r="A72" s="64" t="s">
        <v>62</v>
      </c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6"/>
    </row>
    <row r="73" spans="1:23" x14ac:dyDescent="0.25">
      <c r="A73" s="59" t="s">
        <v>48</v>
      </c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60"/>
      <c r="O73" s="59"/>
      <c r="P73" s="59"/>
      <c r="Q73" s="59"/>
      <c r="R73" s="59"/>
      <c r="S73" s="59"/>
      <c r="T73" s="59"/>
    </row>
    <row r="74" spans="1:23" x14ac:dyDescent="0.25">
      <c r="A74" s="2" t="s">
        <v>1</v>
      </c>
      <c r="B74" s="3" t="s">
        <v>2</v>
      </c>
      <c r="C74" s="3" t="s">
        <v>3</v>
      </c>
      <c r="D74" s="3" t="s">
        <v>4</v>
      </c>
      <c r="E74" s="4" t="s">
        <v>5</v>
      </c>
      <c r="F74" s="3" t="s">
        <v>6</v>
      </c>
      <c r="G74" s="3" t="s">
        <v>28</v>
      </c>
      <c r="H74" s="3" t="s">
        <v>29</v>
      </c>
      <c r="I74" s="5" t="s">
        <v>30</v>
      </c>
      <c r="J74" s="5" t="s">
        <v>31</v>
      </c>
      <c r="K74" s="3" t="s">
        <v>32</v>
      </c>
      <c r="L74" s="3" t="s">
        <v>33</v>
      </c>
      <c r="M74" s="5" t="s">
        <v>34</v>
      </c>
    </row>
    <row r="75" spans="1:23" x14ac:dyDescent="0.25">
      <c r="A75" s="14" t="s">
        <v>14</v>
      </c>
      <c r="B75" s="14" t="s">
        <v>8</v>
      </c>
      <c r="C75" s="14" t="s">
        <v>15</v>
      </c>
      <c r="D75" s="15" t="s">
        <v>16</v>
      </c>
      <c r="E75" s="13">
        <v>1</v>
      </c>
      <c r="F75" s="7" t="s">
        <v>105</v>
      </c>
      <c r="G75" s="35">
        <v>218.54</v>
      </c>
      <c r="H75" s="35">
        <v>0</v>
      </c>
      <c r="I75" s="36">
        <f t="shared" ref="I75:I77" si="54">G75+H75</f>
        <v>218.54</v>
      </c>
      <c r="J75" s="37">
        <v>0.2666</v>
      </c>
      <c r="K75" s="38">
        <f t="shared" ref="K75:K77" si="55">$E75*G75*(1+$J75)</f>
        <v>276.80276399999997</v>
      </c>
      <c r="L75" s="38">
        <f t="shared" ref="L75:L77" si="56">$E75*H75*(1+$J75)</f>
        <v>0</v>
      </c>
      <c r="M75" s="38">
        <f t="shared" ref="M75:M77" si="57">$E75*I75*(1+$J75)</f>
        <v>276.80276399999997</v>
      </c>
      <c r="O75" s="33">
        <v>1</v>
      </c>
      <c r="P75" s="34">
        <f t="shared" ref="P75:P77" si="58">O75*$M75</f>
        <v>276.80276399999997</v>
      </c>
      <c r="Q75" s="27"/>
      <c r="R75" s="27"/>
      <c r="S75" s="27"/>
      <c r="T75" s="27"/>
      <c r="V75" s="28">
        <f t="shared" ref="V75:V77" si="59">O75+Q75+S75</f>
        <v>1</v>
      </c>
      <c r="W75" s="8">
        <f t="shared" ref="W75:W77" si="60">P75+R75+T75</f>
        <v>276.80276399999997</v>
      </c>
    </row>
    <row r="76" spans="1:23" ht="30" x14ac:dyDescent="0.25">
      <c r="A76" s="6" t="s">
        <v>7</v>
      </c>
      <c r="B76" s="16" t="s">
        <v>9</v>
      </c>
      <c r="C76" s="14" t="s">
        <v>106</v>
      </c>
      <c r="D76" s="15" t="s">
        <v>17</v>
      </c>
      <c r="E76" s="13">
        <v>20</v>
      </c>
      <c r="F76" s="7" t="s">
        <v>46</v>
      </c>
      <c r="G76" s="35">
        <v>0.4</v>
      </c>
      <c r="H76" s="35">
        <v>70.260000000000005</v>
      </c>
      <c r="I76" s="36">
        <f t="shared" si="54"/>
        <v>70.660000000000011</v>
      </c>
      <c r="J76" s="37">
        <v>0.2666</v>
      </c>
      <c r="K76" s="38">
        <f t="shared" si="55"/>
        <v>10.1328</v>
      </c>
      <c r="L76" s="38">
        <f t="shared" si="56"/>
        <v>1779.8263199999999</v>
      </c>
      <c r="M76" s="38">
        <f t="shared" si="57"/>
        <v>1789.9591200000002</v>
      </c>
      <c r="O76" s="33">
        <v>1</v>
      </c>
      <c r="P76" s="34">
        <f t="shared" si="58"/>
        <v>1789.9591200000002</v>
      </c>
      <c r="Q76" s="27"/>
      <c r="R76" s="27"/>
      <c r="S76" s="27"/>
      <c r="T76" s="27"/>
      <c r="V76" s="28">
        <f t="shared" si="59"/>
        <v>1</v>
      </c>
      <c r="W76" s="8">
        <f t="shared" si="60"/>
        <v>1789.9591200000002</v>
      </c>
    </row>
    <row r="77" spans="1:23" ht="30" x14ac:dyDescent="0.25">
      <c r="A77" s="6" t="s">
        <v>7</v>
      </c>
      <c r="B77" s="16" t="s">
        <v>10</v>
      </c>
      <c r="C77" s="14" t="s">
        <v>107</v>
      </c>
      <c r="D77" s="15" t="s">
        <v>18</v>
      </c>
      <c r="E77" s="13">
        <v>40</v>
      </c>
      <c r="F77" s="7" t="s">
        <v>46</v>
      </c>
      <c r="G77" s="35">
        <v>2.99</v>
      </c>
      <c r="H77" s="35">
        <v>19.010000000000002</v>
      </c>
      <c r="I77" s="36">
        <f t="shared" si="54"/>
        <v>22</v>
      </c>
      <c r="J77" s="37">
        <v>0.2666</v>
      </c>
      <c r="K77" s="38">
        <f t="shared" si="55"/>
        <v>151.48536000000001</v>
      </c>
      <c r="L77" s="38">
        <f t="shared" si="56"/>
        <v>963.12264000000005</v>
      </c>
      <c r="M77" s="38">
        <f t="shared" si="57"/>
        <v>1114.6079999999999</v>
      </c>
      <c r="O77" s="33">
        <v>1</v>
      </c>
      <c r="P77" s="34">
        <f t="shared" si="58"/>
        <v>1114.6079999999999</v>
      </c>
      <c r="Q77" s="27"/>
      <c r="R77" s="27"/>
      <c r="S77" s="27"/>
      <c r="T77" s="27"/>
      <c r="V77" s="28">
        <f t="shared" si="59"/>
        <v>1</v>
      </c>
      <c r="W77" s="8">
        <f t="shared" si="60"/>
        <v>1114.6079999999999</v>
      </c>
    </row>
    <row r="78" spans="1:23" x14ac:dyDescent="0.25">
      <c r="A78" s="18"/>
      <c r="B78" s="19"/>
      <c r="C78" s="20"/>
      <c r="D78" s="21"/>
      <c r="E78" s="22"/>
      <c r="F78" s="23"/>
      <c r="G78" s="23"/>
      <c r="H78" s="23"/>
      <c r="I78" s="31" t="s">
        <v>35</v>
      </c>
      <c r="J78" s="31"/>
      <c r="K78" s="32">
        <f t="shared" ref="K78:L78" si="61">SUM(K75:K77)</f>
        <v>438.42092399999996</v>
      </c>
      <c r="L78" s="32">
        <f t="shared" si="61"/>
        <v>2742.9489599999997</v>
      </c>
      <c r="M78" s="32">
        <f>SUM(M75:M77)</f>
        <v>3181.3698839999997</v>
      </c>
      <c r="P78" s="32">
        <f>SUM(P75:P77)</f>
        <v>3181.3698839999997</v>
      </c>
      <c r="R78" s="32">
        <f>SUM(R75:R77)</f>
        <v>0</v>
      </c>
      <c r="T78" s="32">
        <f>SUM(T75:T77)</f>
        <v>0</v>
      </c>
    </row>
    <row r="79" spans="1:23" ht="15.75" thickBot="1" x14ac:dyDescent="0.3"/>
    <row r="80" spans="1:23" ht="15.75" thickBot="1" x14ac:dyDescent="0.3">
      <c r="A80" s="64" t="s">
        <v>63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6"/>
    </row>
    <row r="81" spans="1:23" ht="15.75" thickBot="1" x14ac:dyDescent="0.3">
      <c r="A81" s="59" t="s">
        <v>49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60"/>
      <c r="O81" s="59"/>
      <c r="P81" s="59"/>
      <c r="Q81" s="59"/>
      <c r="R81" s="59"/>
      <c r="S81" s="59"/>
      <c r="T81" s="59"/>
    </row>
    <row r="82" spans="1:23" x14ac:dyDescent="0.25">
      <c r="A82" s="9" t="s">
        <v>1</v>
      </c>
      <c r="B82" s="10" t="s">
        <v>2</v>
      </c>
      <c r="C82" s="10" t="s">
        <v>3</v>
      </c>
      <c r="D82" s="11" t="s">
        <v>4</v>
      </c>
      <c r="E82" s="4" t="s">
        <v>5</v>
      </c>
      <c r="F82" s="3" t="s">
        <v>6</v>
      </c>
      <c r="G82" s="3" t="s">
        <v>28</v>
      </c>
      <c r="H82" s="3" t="s">
        <v>29</v>
      </c>
      <c r="I82" s="5" t="s">
        <v>30</v>
      </c>
      <c r="J82" s="5" t="s">
        <v>31</v>
      </c>
      <c r="K82" s="3" t="s">
        <v>32</v>
      </c>
      <c r="L82" s="3" t="s">
        <v>33</v>
      </c>
      <c r="M82" s="5" t="s">
        <v>34</v>
      </c>
    </row>
    <row r="83" spans="1:23" x14ac:dyDescent="0.25">
      <c r="A83" s="6" t="s">
        <v>7</v>
      </c>
      <c r="B83" s="6" t="s">
        <v>8</v>
      </c>
      <c r="C83" s="17" t="s">
        <v>141</v>
      </c>
      <c r="D83" s="12" t="s">
        <v>50</v>
      </c>
      <c r="E83" s="13">
        <v>20</v>
      </c>
      <c r="F83" s="6" t="s">
        <v>105</v>
      </c>
      <c r="G83" s="35">
        <v>19.11</v>
      </c>
      <c r="H83" s="35">
        <v>4.5199999999999996</v>
      </c>
      <c r="I83" s="36">
        <f t="shared" ref="I83:I86" si="62">G83+H83</f>
        <v>23.63</v>
      </c>
      <c r="J83" s="37">
        <v>0.2666</v>
      </c>
      <c r="K83" s="38">
        <f t="shared" ref="K83:K89" si="63">$E83*G83*(1+$J83)</f>
        <v>484.09451999999999</v>
      </c>
      <c r="L83" s="38">
        <f t="shared" ref="L83:L89" si="64">$E83*H83*(1+$J83)</f>
        <v>114.50063999999999</v>
      </c>
      <c r="M83" s="38">
        <f t="shared" ref="M83:M89" si="65">$E83*I83*(1+$J83)</f>
        <v>598.59515999999996</v>
      </c>
      <c r="O83" s="33">
        <v>1</v>
      </c>
      <c r="P83" s="34">
        <f t="shared" ref="P83:P89" si="66">O83*$M83</f>
        <v>598.59515999999996</v>
      </c>
      <c r="Q83" s="27"/>
      <c r="R83" s="27"/>
      <c r="S83" s="27"/>
      <c r="T83" s="27"/>
      <c r="V83" s="28">
        <f t="shared" ref="V83:V89" si="67">O83+Q83+S83</f>
        <v>1</v>
      </c>
      <c r="W83" s="8">
        <f t="shared" ref="W83:W89" si="68">P83+R83+T83</f>
        <v>598.59515999999996</v>
      </c>
    </row>
    <row r="84" spans="1:23" x14ac:dyDescent="0.25">
      <c r="A84" s="6" t="s">
        <v>7</v>
      </c>
      <c r="B84" s="6" t="s">
        <v>9</v>
      </c>
      <c r="C84" s="17" t="s">
        <v>142</v>
      </c>
      <c r="D84" s="12" t="s">
        <v>51</v>
      </c>
      <c r="E84" s="13">
        <v>100</v>
      </c>
      <c r="F84" s="6" t="s">
        <v>105</v>
      </c>
      <c r="G84" s="35">
        <v>26.78</v>
      </c>
      <c r="H84" s="35">
        <v>6.65</v>
      </c>
      <c r="I84" s="36">
        <f t="shared" si="62"/>
        <v>33.43</v>
      </c>
      <c r="J84" s="37">
        <v>0.2666</v>
      </c>
      <c r="K84" s="38">
        <f t="shared" si="63"/>
        <v>3391.9548</v>
      </c>
      <c r="L84" s="38">
        <f t="shared" si="64"/>
        <v>842.28899999999999</v>
      </c>
      <c r="M84" s="38">
        <f t="shared" si="65"/>
        <v>4234.2438000000002</v>
      </c>
      <c r="O84" s="33">
        <v>1</v>
      </c>
      <c r="P84" s="34">
        <f t="shared" si="66"/>
        <v>4234.2438000000002</v>
      </c>
      <c r="Q84" s="27"/>
      <c r="R84" s="27"/>
      <c r="S84" s="27"/>
      <c r="T84" s="27"/>
      <c r="V84" s="28">
        <f t="shared" si="67"/>
        <v>1</v>
      </c>
      <c r="W84" s="8">
        <f t="shared" si="68"/>
        <v>4234.2438000000002</v>
      </c>
    </row>
    <row r="85" spans="1:23" ht="30" x14ac:dyDescent="0.25">
      <c r="A85" s="6" t="s">
        <v>7</v>
      </c>
      <c r="B85" s="6" t="s">
        <v>10</v>
      </c>
      <c r="C85" s="17" t="s">
        <v>143</v>
      </c>
      <c r="D85" s="12" t="s">
        <v>52</v>
      </c>
      <c r="E85" s="13">
        <v>8</v>
      </c>
      <c r="F85" s="6" t="s">
        <v>105</v>
      </c>
      <c r="G85" s="35">
        <v>6.54</v>
      </c>
      <c r="H85" s="35">
        <v>6.5</v>
      </c>
      <c r="I85" s="36">
        <f t="shared" si="62"/>
        <v>13.04</v>
      </c>
      <c r="J85" s="37">
        <v>0.2666</v>
      </c>
      <c r="K85" s="38">
        <f t="shared" si="63"/>
        <v>66.268512000000001</v>
      </c>
      <c r="L85" s="38">
        <f t="shared" si="64"/>
        <v>65.863199999999992</v>
      </c>
      <c r="M85" s="38">
        <f t="shared" si="65"/>
        <v>132.13171199999999</v>
      </c>
      <c r="O85" s="33">
        <v>1</v>
      </c>
      <c r="P85" s="34">
        <f t="shared" si="66"/>
        <v>132.13171199999999</v>
      </c>
      <c r="Q85" s="27"/>
      <c r="R85" s="27"/>
      <c r="S85" s="27"/>
      <c r="T85" s="27"/>
      <c r="V85" s="28">
        <f t="shared" si="67"/>
        <v>1</v>
      </c>
      <c r="W85" s="8">
        <f t="shared" si="68"/>
        <v>132.13171199999999</v>
      </c>
    </row>
    <row r="86" spans="1:23" ht="30" x14ac:dyDescent="0.25">
      <c r="A86" s="6" t="s">
        <v>7</v>
      </c>
      <c r="B86" s="6" t="s">
        <v>11</v>
      </c>
      <c r="C86" s="17" t="s">
        <v>144</v>
      </c>
      <c r="D86" s="12" t="s">
        <v>145</v>
      </c>
      <c r="E86" s="13">
        <v>20</v>
      </c>
      <c r="F86" s="6" t="s">
        <v>40</v>
      </c>
      <c r="G86" s="35">
        <v>7.65</v>
      </c>
      <c r="H86" s="35">
        <v>4.34</v>
      </c>
      <c r="I86" s="36">
        <f t="shared" si="62"/>
        <v>11.99</v>
      </c>
      <c r="J86" s="37">
        <v>0.2666</v>
      </c>
      <c r="K86" s="38">
        <f t="shared" si="63"/>
        <v>193.78979999999999</v>
      </c>
      <c r="L86" s="38">
        <f t="shared" si="64"/>
        <v>109.94087999999999</v>
      </c>
      <c r="M86" s="38">
        <f t="shared" si="65"/>
        <v>303.73068000000001</v>
      </c>
      <c r="O86" s="33">
        <v>1</v>
      </c>
      <c r="P86" s="34">
        <f t="shared" si="66"/>
        <v>303.73068000000001</v>
      </c>
      <c r="Q86" s="27"/>
      <c r="R86" s="27"/>
      <c r="S86" s="27"/>
      <c r="T86" s="27"/>
      <c r="V86" s="28">
        <f t="shared" si="67"/>
        <v>1</v>
      </c>
      <c r="W86" s="8">
        <f t="shared" si="68"/>
        <v>303.73068000000001</v>
      </c>
    </row>
    <row r="87" spans="1:23" ht="30" x14ac:dyDescent="0.25">
      <c r="A87" s="6" t="s">
        <v>7</v>
      </c>
      <c r="B87" s="6" t="s">
        <v>12</v>
      </c>
      <c r="C87" s="17" t="s">
        <v>146</v>
      </c>
      <c r="D87" s="12" t="s">
        <v>53</v>
      </c>
      <c r="E87" s="13">
        <v>0.1</v>
      </c>
      <c r="F87" s="6" t="s">
        <v>123</v>
      </c>
      <c r="G87" s="35">
        <v>24.67</v>
      </c>
      <c r="H87" s="35">
        <v>0</v>
      </c>
      <c r="I87" s="36">
        <f t="shared" ref="I87:I89" si="69">G87+H87</f>
        <v>24.67</v>
      </c>
      <c r="J87" s="37">
        <v>0.2666</v>
      </c>
      <c r="K87" s="38">
        <f t="shared" si="63"/>
        <v>3.1247022000000007</v>
      </c>
      <c r="L87" s="38">
        <f t="shared" si="64"/>
        <v>0</v>
      </c>
      <c r="M87" s="38">
        <f t="shared" si="65"/>
        <v>3.1247022000000007</v>
      </c>
      <c r="O87" s="33">
        <v>1</v>
      </c>
      <c r="P87" s="34">
        <f t="shared" si="66"/>
        <v>3.1247022000000007</v>
      </c>
      <c r="Q87" s="27"/>
      <c r="R87" s="27"/>
      <c r="S87" s="27"/>
      <c r="T87" s="27"/>
      <c r="V87" s="28">
        <f t="shared" si="67"/>
        <v>1</v>
      </c>
      <c r="W87" s="8">
        <f t="shared" si="68"/>
        <v>3.1247022000000007</v>
      </c>
    </row>
    <row r="88" spans="1:23" ht="30" x14ac:dyDescent="0.25">
      <c r="A88" s="6" t="s">
        <v>7</v>
      </c>
      <c r="B88" s="6" t="s">
        <v>43</v>
      </c>
      <c r="C88" s="17" t="s">
        <v>147</v>
      </c>
      <c r="D88" s="12" t="s">
        <v>54</v>
      </c>
      <c r="E88" s="13">
        <v>15</v>
      </c>
      <c r="F88" s="6" t="s">
        <v>42</v>
      </c>
      <c r="G88" s="35">
        <f>0.18+16.24</f>
        <v>16.419999999999998</v>
      </c>
      <c r="H88" s="35">
        <v>36.15</v>
      </c>
      <c r="I88" s="36">
        <f t="shared" si="69"/>
        <v>52.569999999999993</v>
      </c>
      <c r="J88" s="37">
        <v>0.2666</v>
      </c>
      <c r="K88" s="38">
        <f t="shared" si="63"/>
        <v>311.96357999999998</v>
      </c>
      <c r="L88" s="38">
        <f t="shared" si="64"/>
        <v>686.81385</v>
      </c>
      <c r="M88" s="38">
        <f t="shared" si="65"/>
        <v>998.77742999999987</v>
      </c>
      <c r="O88" s="33">
        <v>1</v>
      </c>
      <c r="P88" s="34">
        <f t="shared" si="66"/>
        <v>998.77742999999987</v>
      </c>
      <c r="Q88" s="27"/>
      <c r="R88" s="27"/>
      <c r="S88" s="27"/>
      <c r="T88" s="27"/>
      <c r="V88" s="28">
        <f t="shared" si="67"/>
        <v>1</v>
      </c>
      <c r="W88" s="8">
        <f t="shared" si="68"/>
        <v>998.77742999999987</v>
      </c>
    </row>
    <row r="89" spans="1:23" x14ac:dyDescent="0.25">
      <c r="A89" s="6" t="s">
        <v>7</v>
      </c>
      <c r="B89" s="6" t="s">
        <v>44</v>
      </c>
      <c r="C89" s="17" t="s">
        <v>124</v>
      </c>
      <c r="D89" s="12" t="s">
        <v>55</v>
      </c>
      <c r="E89" s="13">
        <v>15</v>
      </c>
      <c r="F89" s="6" t="s">
        <v>42</v>
      </c>
      <c r="G89" s="35">
        <f>0.11+9.82</f>
        <v>9.93</v>
      </c>
      <c r="H89" s="35">
        <v>21.94</v>
      </c>
      <c r="I89" s="36">
        <f t="shared" si="69"/>
        <v>31.87</v>
      </c>
      <c r="J89" s="37">
        <v>0.2666</v>
      </c>
      <c r="K89" s="38">
        <f t="shared" si="63"/>
        <v>188.66006999999999</v>
      </c>
      <c r="L89" s="38">
        <f t="shared" si="64"/>
        <v>416.83805999999998</v>
      </c>
      <c r="M89" s="38">
        <f t="shared" si="65"/>
        <v>605.49812999999995</v>
      </c>
      <c r="O89" s="33">
        <v>1</v>
      </c>
      <c r="P89" s="34">
        <f t="shared" si="66"/>
        <v>605.49812999999995</v>
      </c>
      <c r="Q89" s="27"/>
      <c r="R89" s="27"/>
      <c r="S89" s="27"/>
      <c r="T89" s="27"/>
      <c r="V89" s="28">
        <f t="shared" si="67"/>
        <v>1</v>
      </c>
      <c r="W89" s="8">
        <f t="shared" si="68"/>
        <v>605.49812999999995</v>
      </c>
    </row>
    <row r="90" spans="1:23" x14ac:dyDescent="0.25">
      <c r="I90" s="31" t="s">
        <v>35</v>
      </c>
      <c r="J90" s="31"/>
      <c r="K90" s="32">
        <f t="shared" ref="K90:L90" si="70">SUM(K83:K89)</f>
        <v>4639.8559841999995</v>
      </c>
      <c r="L90" s="32">
        <f t="shared" si="70"/>
        <v>2236.2456299999999</v>
      </c>
      <c r="M90" s="32">
        <f>SUM(M83:M89)</f>
        <v>6876.1016141999999</v>
      </c>
      <c r="P90" s="32">
        <f>SUM(P83:P89)</f>
        <v>6876.1016141999999</v>
      </c>
      <c r="R90" s="32">
        <f>SUM(R83:R89)</f>
        <v>0</v>
      </c>
      <c r="T90" s="32">
        <f>SUM(T83:T89)</f>
        <v>0</v>
      </c>
    </row>
    <row r="92" spans="1:23" x14ac:dyDescent="0.25">
      <c r="D92" s="54" t="s">
        <v>37</v>
      </c>
      <c r="L92" s="29" t="s">
        <v>37</v>
      </c>
      <c r="M92" s="30">
        <f>SUM(M10:M90)/2</f>
        <v>217664.37866041998</v>
      </c>
      <c r="O92" s="56">
        <f>P92/$M$92</f>
        <v>0.13552466774704314</v>
      </c>
      <c r="P92" s="30">
        <f>SUM(P10:P90)/2</f>
        <v>29498.892598320002</v>
      </c>
      <c r="Q92" s="56">
        <f>R92/$M$92</f>
        <v>0.23243233079506032</v>
      </c>
      <c r="R92" s="30">
        <f>SUM(R10:R90)/2</f>
        <v>50592.238863100007</v>
      </c>
      <c r="S92" s="56">
        <f>T92/$M$92</f>
        <v>0.63204300145789671</v>
      </c>
      <c r="T92" s="30">
        <f>SUM(T10:T90)/2</f>
        <v>137573.247199</v>
      </c>
      <c r="W92" s="58">
        <f>SUM(W10:W90)</f>
        <v>217664.37866042007</v>
      </c>
    </row>
    <row r="93" spans="1:23" x14ac:dyDescent="0.25">
      <c r="D93" s="55"/>
    </row>
    <row r="94" spans="1:23" x14ac:dyDescent="0.25">
      <c r="D94" s="49" t="s">
        <v>152</v>
      </c>
      <c r="O94" s="56">
        <f>P94/$M$92</f>
        <v>0.13552466774704314</v>
      </c>
      <c r="P94" s="57">
        <f>P92</f>
        <v>29498.892598320002</v>
      </c>
      <c r="Q94" s="56">
        <f>R94/$M$92</f>
        <v>0.36795699854210345</v>
      </c>
      <c r="R94" s="57">
        <f>R92+P94</f>
        <v>80091.131461420009</v>
      </c>
      <c r="S94" s="56">
        <f>T94/$M$92</f>
        <v>1.0000000000000002</v>
      </c>
      <c r="T94" s="57">
        <f>T92+R94</f>
        <v>217664.37866042001</v>
      </c>
    </row>
  </sheetData>
  <mergeCells count="27">
    <mergeCell ref="O81:T81"/>
    <mergeCell ref="O2:T2"/>
    <mergeCell ref="A47:M47"/>
    <mergeCell ref="A72:M72"/>
    <mergeCell ref="A73:M73"/>
    <mergeCell ref="A80:M80"/>
    <mergeCell ref="O4:P4"/>
    <mergeCell ref="Q4:R4"/>
    <mergeCell ref="S4:T4"/>
    <mergeCell ref="O8:T8"/>
    <mergeCell ref="O16:T16"/>
    <mergeCell ref="O26:T26"/>
    <mergeCell ref="O34:T34"/>
    <mergeCell ref="O41:T41"/>
    <mergeCell ref="O47:T47"/>
    <mergeCell ref="O73:T73"/>
    <mergeCell ref="A81:M81"/>
    <mergeCell ref="A5:M5"/>
    <mergeCell ref="A25:M25"/>
    <mergeCell ref="A26:M26"/>
    <mergeCell ref="A33:M33"/>
    <mergeCell ref="A34:M34"/>
    <mergeCell ref="A41:M41"/>
    <mergeCell ref="A15:M15"/>
    <mergeCell ref="A16:M16"/>
    <mergeCell ref="A7:M7"/>
    <mergeCell ref="A8:M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94"/>
  <sheetViews>
    <sheetView topLeftCell="D1" zoomScale="85" zoomScaleNormal="85" workbookViewId="0">
      <selection activeCell="P11" sqref="P11"/>
    </sheetView>
  </sheetViews>
  <sheetFormatPr defaultRowHeight="15" x14ac:dyDescent="0.25"/>
  <cols>
    <col min="1" max="1" width="14.85546875" style="1" bestFit="1" customWidth="1"/>
    <col min="2" max="2" width="6.85546875" style="1" bestFit="1" customWidth="1"/>
    <col min="3" max="3" width="13.5703125" style="1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hidden="1" customWidth="1"/>
    <col min="9" max="9" width="18" style="1" hidden="1" customWidth="1"/>
    <col min="10" max="10" width="8.85546875" style="1" hidden="1" customWidth="1"/>
    <col min="11" max="11" width="17.7109375" style="1" hidden="1" customWidth="1"/>
    <col min="12" max="12" width="16.7109375" style="1" hidden="1" customWidth="1"/>
    <col min="13" max="13" width="14.5703125" style="1" bestFit="1" customWidth="1"/>
    <col min="14" max="14" width="3.28515625" style="1" customWidth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D2" s="49" t="s">
        <v>148</v>
      </c>
      <c r="E2" s="50" t="s">
        <v>149</v>
      </c>
      <c r="J2" s="24"/>
      <c r="O2" s="67" t="s">
        <v>153</v>
      </c>
      <c r="P2" s="68"/>
      <c r="Q2" s="68"/>
      <c r="R2" s="68"/>
      <c r="S2" s="68"/>
      <c r="T2" s="68"/>
      <c r="V2" s="53" t="s">
        <v>151</v>
      </c>
      <c r="W2" s="53"/>
    </row>
    <row r="3" spans="1:23" x14ac:dyDescent="0.25">
      <c r="D3" s="49" t="s">
        <v>150</v>
      </c>
      <c r="E3" s="51">
        <v>43344</v>
      </c>
    </row>
    <row r="4" spans="1:23" ht="15.75" thickBot="1" x14ac:dyDescent="0.3">
      <c r="O4" s="69" t="s">
        <v>24</v>
      </c>
      <c r="P4" s="70"/>
      <c r="Q4" s="69" t="s">
        <v>25</v>
      </c>
      <c r="R4" s="70"/>
      <c r="S4" s="69" t="s">
        <v>36</v>
      </c>
      <c r="T4" s="70"/>
    </row>
    <row r="5" spans="1:23" ht="15.75" thickBot="1" x14ac:dyDescent="0.3">
      <c r="A5" s="61" t="s">
        <v>57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3"/>
      <c r="O5" s="52" t="s">
        <v>26</v>
      </c>
      <c r="P5" s="52" t="s">
        <v>27</v>
      </c>
      <c r="Q5" s="52" t="s">
        <v>26</v>
      </c>
      <c r="R5" s="52" t="s">
        <v>27</v>
      </c>
      <c r="S5" s="52" t="s">
        <v>26</v>
      </c>
      <c r="T5" s="52" t="s">
        <v>27</v>
      </c>
      <c r="V5" s="25" t="s">
        <v>26</v>
      </c>
      <c r="W5" s="25" t="s">
        <v>27</v>
      </c>
    </row>
    <row r="6" spans="1:23" ht="15.75" thickBot="1" x14ac:dyDescent="0.3"/>
    <row r="7" spans="1:23" ht="15.75" thickBot="1" x14ac:dyDescent="0.3">
      <c r="A7" s="64" t="s">
        <v>58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6"/>
    </row>
    <row r="8" spans="1:23" x14ac:dyDescent="0.25">
      <c r="A8" s="59" t="s">
        <v>13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60"/>
      <c r="O8" s="59"/>
      <c r="P8" s="59"/>
      <c r="Q8" s="59"/>
      <c r="R8" s="59"/>
      <c r="S8" s="59"/>
      <c r="T8" s="59"/>
    </row>
    <row r="9" spans="1:23" x14ac:dyDescent="0.25">
      <c r="A9" s="2" t="s">
        <v>1</v>
      </c>
      <c r="B9" s="3" t="s">
        <v>2</v>
      </c>
      <c r="C9" s="3" t="s">
        <v>3</v>
      </c>
      <c r="D9" s="3" t="s">
        <v>4</v>
      </c>
      <c r="E9" s="4" t="s">
        <v>5</v>
      </c>
      <c r="F9" s="3" t="s">
        <v>6</v>
      </c>
      <c r="G9" s="3" t="s">
        <v>28</v>
      </c>
      <c r="H9" s="3" t="s">
        <v>29</v>
      </c>
      <c r="I9" s="5" t="s">
        <v>30</v>
      </c>
      <c r="J9" s="5" t="s">
        <v>31</v>
      </c>
      <c r="K9" s="3" t="s">
        <v>32</v>
      </c>
      <c r="L9" s="3" t="s">
        <v>33</v>
      </c>
      <c r="M9" s="5" t="s">
        <v>34</v>
      </c>
    </row>
    <row r="10" spans="1:23" x14ac:dyDescent="0.25">
      <c r="A10" s="48" t="s">
        <v>14</v>
      </c>
      <c r="B10" s="48" t="s">
        <v>8</v>
      </c>
      <c r="C10" s="48" t="s">
        <v>15</v>
      </c>
      <c r="D10" s="15" t="s">
        <v>16</v>
      </c>
      <c r="E10" s="13">
        <v>1</v>
      </c>
      <c r="F10" s="7" t="s">
        <v>105</v>
      </c>
      <c r="G10" s="35">
        <v>218.54</v>
      </c>
      <c r="H10" s="35">
        <v>0</v>
      </c>
      <c r="I10" s="36">
        <f>G10+H10</f>
        <v>218.54</v>
      </c>
      <c r="J10" s="37">
        <v>0.2666</v>
      </c>
      <c r="K10" s="38">
        <f>$E10*G10*(1+$J10)</f>
        <v>276.80276399999997</v>
      </c>
      <c r="L10" s="38">
        <f t="shared" ref="L10:M12" si="0">$E10*H10*(1+$J10)</f>
        <v>0</v>
      </c>
      <c r="M10" s="38">
        <f t="shared" si="0"/>
        <v>276.80276399999997</v>
      </c>
      <c r="O10" s="33">
        <v>1</v>
      </c>
      <c r="P10" s="34">
        <f>O10*$M10</f>
        <v>276.80276399999997</v>
      </c>
      <c r="Q10" s="27"/>
      <c r="R10" s="27"/>
      <c r="S10" s="27"/>
      <c r="T10" s="27"/>
      <c r="V10" s="28">
        <f>O10+Q10+S10</f>
        <v>1</v>
      </c>
      <c r="W10" s="8">
        <f>P10+R10+T10</f>
        <v>276.80276399999997</v>
      </c>
    </row>
    <row r="11" spans="1:23" ht="30" x14ac:dyDescent="0.25">
      <c r="A11" s="6" t="s">
        <v>7</v>
      </c>
      <c r="B11" s="16" t="s">
        <v>9</v>
      </c>
      <c r="C11" s="14" t="s">
        <v>106</v>
      </c>
      <c r="D11" s="15" t="s">
        <v>17</v>
      </c>
      <c r="E11" s="13">
        <v>20</v>
      </c>
      <c r="F11" s="7" t="s">
        <v>46</v>
      </c>
      <c r="G11" s="35">
        <v>0.4</v>
      </c>
      <c r="H11" s="35">
        <v>70.260000000000005</v>
      </c>
      <c r="I11" s="36">
        <f t="shared" ref="I11:I12" si="1">G11+H11</f>
        <v>70.660000000000011</v>
      </c>
      <c r="J11" s="37">
        <v>0.2666</v>
      </c>
      <c r="K11" s="38">
        <f t="shared" ref="K11:K12" si="2">$E11*G11*(1+$J11)</f>
        <v>10.1328</v>
      </c>
      <c r="L11" s="38">
        <f t="shared" si="0"/>
        <v>1779.8263199999999</v>
      </c>
      <c r="M11" s="38">
        <f t="shared" si="0"/>
        <v>1789.9591200000002</v>
      </c>
      <c r="O11" s="33">
        <v>0.5</v>
      </c>
      <c r="P11" s="34">
        <f>O11*$M11</f>
        <v>894.97956000000011</v>
      </c>
      <c r="Q11" s="33">
        <v>0.5</v>
      </c>
      <c r="R11" s="34">
        <f>Q11*$M11</f>
        <v>894.97956000000011</v>
      </c>
      <c r="S11" s="27"/>
      <c r="T11" s="27"/>
      <c r="V11" s="28">
        <f t="shared" ref="V11:W12" si="3">O11+Q11+S11</f>
        <v>1</v>
      </c>
      <c r="W11" s="8">
        <f t="shared" si="3"/>
        <v>1789.9591200000002</v>
      </c>
    </row>
    <row r="12" spans="1:23" ht="30" x14ac:dyDescent="0.25">
      <c r="A12" s="6" t="s">
        <v>7</v>
      </c>
      <c r="B12" s="16" t="s">
        <v>10</v>
      </c>
      <c r="C12" s="14" t="s">
        <v>107</v>
      </c>
      <c r="D12" s="15" t="s">
        <v>18</v>
      </c>
      <c r="E12" s="13">
        <v>40</v>
      </c>
      <c r="F12" s="7" t="s">
        <v>46</v>
      </c>
      <c r="G12" s="35">
        <v>2.99</v>
      </c>
      <c r="H12" s="35">
        <v>19.010000000000002</v>
      </c>
      <c r="I12" s="36">
        <f t="shared" si="1"/>
        <v>22</v>
      </c>
      <c r="J12" s="37">
        <v>0.2666</v>
      </c>
      <c r="K12" s="38">
        <f t="shared" si="2"/>
        <v>151.48536000000001</v>
      </c>
      <c r="L12" s="38">
        <f t="shared" si="0"/>
        <v>963.12264000000005</v>
      </c>
      <c r="M12" s="38">
        <f t="shared" si="0"/>
        <v>1114.6079999999999</v>
      </c>
      <c r="O12" s="33">
        <v>0.5</v>
      </c>
      <c r="P12" s="34">
        <f>O12*$M12</f>
        <v>557.30399999999997</v>
      </c>
      <c r="Q12" s="33">
        <v>0.5</v>
      </c>
      <c r="R12" s="34">
        <f>Q12*$M12</f>
        <v>557.30399999999997</v>
      </c>
      <c r="S12" s="27"/>
      <c r="T12" s="27"/>
      <c r="V12" s="28">
        <f t="shared" si="3"/>
        <v>1</v>
      </c>
      <c r="W12" s="8">
        <f t="shared" si="3"/>
        <v>1114.6079999999999</v>
      </c>
    </row>
    <row r="13" spans="1:23" x14ac:dyDescent="0.25">
      <c r="A13" s="18"/>
      <c r="B13" s="19"/>
      <c r="C13" s="39"/>
      <c r="D13" s="21"/>
      <c r="E13" s="22"/>
      <c r="F13" s="23"/>
      <c r="G13" s="23"/>
      <c r="H13" s="23"/>
      <c r="I13" s="31" t="s">
        <v>35</v>
      </c>
      <c r="J13" s="31"/>
      <c r="K13" s="32">
        <f t="shared" ref="K13:L13" si="4">SUM(K10:K12)</f>
        <v>438.42092399999996</v>
      </c>
      <c r="L13" s="32">
        <f t="shared" si="4"/>
        <v>2742.9489599999997</v>
      </c>
      <c r="M13" s="32">
        <f>SUM(M10:M12)</f>
        <v>3181.3698839999997</v>
      </c>
      <c r="P13" s="32">
        <f>SUM(P10:P12)</f>
        <v>1729.0863239999999</v>
      </c>
      <c r="R13" s="32">
        <f>SUM(R10:R12)</f>
        <v>1452.2835600000001</v>
      </c>
      <c r="T13" s="32">
        <f>SUM(T10:T12)</f>
        <v>0</v>
      </c>
    </row>
    <row r="14" spans="1:23" ht="15.75" thickBot="1" x14ac:dyDescent="0.3"/>
    <row r="15" spans="1:23" ht="15.75" thickBot="1" x14ac:dyDescent="0.3">
      <c r="A15" s="64" t="s">
        <v>59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6"/>
    </row>
    <row r="16" spans="1:23" ht="15.75" thickBot="1" x14ac:dyDescent="0.3">
      <c r="A16" s="59" t="s">
        <v>0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O16" s="59"/>
      <c r="P16" s="59"/>
      <c r="Q16" s="59"/>
      <c r="R16" s="59"/>
      <c r="S16" s="59"/>
      <c r="T16" s="59"/>
    </row>
    <row r="17" spans="1:23" x14ac:dyDescent="0.25">
      <c r="A17" s="9" t="s">
        <v>1</v>
      </c>
      <c r="B17" s="10" t="s">
        <v>2</v>
      </c>
      <c r="C17" s="10" t="s">
        <v>3</v>
      </c>
      <c r="D17" s="11" t="s">
        <v>4</v>
      </c>
      <c r="E17" s="4" t="s">
        <v>5</v>
      </c>
      <c r="F17" s="3" t="s">
        <v>6</v>
      </c>
      <c r="G17" s="3" t="s">
        <v>28</v>
      </c>
      <c r="H17" s="3" t="s">
        <v>29</v>
      </c>
      <c r="I17" s="5" t="s">
        <v>30</v>
      </c>
      <c r="J17" s="5" t="s">
        <v>31</v>
      </c>
      <c r="K17" s="3" t="s">
        <v>32</v>
      </c>
      <c r="L17" s="3" t="s">
        <v>33</v>
      </c>
      <c r="M17" s="5" t="s">
        <v>34</v>
      </c>
    </row>
    <row r="18" spans="1:23" x14ac:dyDescent="0.25">
      <c r="A18" s="6" t="s">
        <v>7</v>
      </c>
      <c r="B18" s="6" t="s">
        <v>8</v>
      </c>
      <c r="C18" s="17" t="s">
        <v>108</v>
      </c>
      <c r="D18" s="12" t="s">
        <v>19</v>
      </c>
      <c r="E18" s="13">
        <v>6</v>
      </c>
      <c r="F18" s="6" t="s">
        <v>20</v>
      </c>
      <c r="G18" s="35">
        <f>0.15+271.29</f>
        <v>271.44</v>
      </c>
      <c r="H18" s="35">
        <v>30.78</v>
      </c>
      <c r="I18" s="36">
        <f t="shared" ref="I18:I22" si="5">G18+H18</f>
        <v>302.22000000000003</v>
      </c>
      <c r="J18" s="37">
        <v>0.2666</v>
      </c>
      <c r="K18" s="38">
        <f t="shared" ref="K18:M22" si="6">$E18*G18*(1+$J18)</f>
        <v>2062.8354239999999</v>
      </c>
      <c r="L18" s="38">
        <f t="shared" si="6"/>
        <v>233.91568799999999</v>
      </c>
      <c r="M18" s="38">
        <f t="shared" si="6"/>
        <v>2296.7511119999999</v>
      </c>
      <c r="O18" s="33">
        <v>1</v>
      </c>
      <c r="P18" s="34">
        <f>O18*$M18</f>
        <v>2296.7511119999999</v>
      </c>
      <c r="Q18" s="27"/>
      <c r="R18" s="27"/>
      <c r="S18" s="27"/>
      <c r="T18" s="27"/>
      <c r="V18" s="28">
        <f t="shared" ref="V18:W22" si="7">O18+Q18+S18</f>
        <v>1</v>
      </c>
      <c r="W18" s="8">
        <f t="shared" si="7"/>
        <v>2296.7511119999999</v>
      </c>
    </row>
    <row r="19" spans="1:23" ht="60" x14ac:dyDescent="0.25">
      <c r="A19" s="6" t="s">
        <v>7</v>
      </c>
      <c r="B19" s="6" t="s">
        <v>9</v>
      </c>
      <c r="C19" s="17" t="s">
        <v>109</v>
      </c>
      <c r="D19" s="40" t="s">
        <v>110</v>
      </c>
      <c r="E19" s="13">
        <v>2</v>
      </c>
      <c r="F19" s="6" t="s">
        <v>21</v>
      </c>
      <c r="G19" s="35">
        <v>394.53</v>
      </c>
      <c r="H19" s="35">
        <v>0</v>
      </c>
      <c r="I19" s="36">
        <f t="shared" si="5"/>
        <v>394.53</v>
      </c>
      <c r="J19" s="37">
        <v>0.2666</v>
      </c>
      <c r="K19" s="38">
        <f t="shared" si="6"/>
        <v>999.42339599999991</v>
      </c>
      <c r="L19" s="38">
        <f t="shared" si="6"/>
        <v>0</v>
      </c>
      <c r="M19" s="38">
        <f t="shared" si="6"/>
        <v>999.42339599999991</v>
      </c>
      <c r="O19" s="33">
        <v>0.5</v>
      </c>
      <c r="P19" s="34">
        <f>O19*$M19</f>
        <v>499.71169799999996</v>
      </c>
      <c r="Q19" s="33">
        <v>0.5</v>
      </c>
      <c r="R19" s="34">
        <f>Q19*$M19</f>
        <v>499.71169799999996</v>
      </c>
      <c r="S19" s="27"/>
      <c r="T19" s="27"/>
      <c r="V19" s="28">
        <f t="shared" si="7"/>
        <v>1</v>
      </c>
      <c r="W19" s="8">
        <f t="shared" si="7"/>
        <v>999.42339599999991</v>
      </c>
    </row>
    <row r="20" spans="1:23" ht="60" x14ac:dyDescent="0.25">
      <c r="A20" s="6" t="s">
        <v>7</v>
      </c>
      <c r="B20" s="6" t="s">
        <v>10</v>
      </c>
      <c r="C20" s="17" t="s">
        <v>109</v>
      </c>
      <c r="D20" s="40" t="s">
        <v>110</v>
      </c>
      <c r="E20" s="13">
        <v>2</v>
      </c>
      <c r="F20" s="6" t="s">
        <v>21</v>
      </c>
      <c r="G20" s="35">
        <v>394.53</v>
      </c>
      <c r="H20" s="35">
        <v>0</v>
      </c>
      <c r="I20" s="36">
        <f t="shared" si="5"/>
        <v>394.53</v>
      </c>
      <c r="J20" s="37">
        <v>0.2666</v>
      </c>
      <c r="K20" s="38">
        <f t="shared" si="6"/>
        <v>999.42339599999991</v>
      </c>
      <c r="L20" s="38">
        <f t="shared" si="6"/>
        <v>0</v>
      </c>
      <c r="M20" s="38">
        <f t="shared" si="6"/>
        <v>999.42339599999991</v>
      </c>
      <c r="O20" s="33">
        <v>0.5</v>
      </c>
      <c r="P20" s="34">
        <f>O20*$M20</f>
        <v>499.71169799999996</v>
      </c>
      <c r="Q20" s="33">
        <v>0.5</v>
      </c>
      <c r="R20" s="34">
        <f>Q20*$M20</f>
        <v>499.71169799999996</v>
      </c>
      <c r="S20" s="27"/>
      <c r="T20" s="27"/>
      <c r="V20" s="28">
        <f t="shared" si="7"/>
        <v>1</v>
      </c>
      <c r="W20" s="8">
        <f t="shared" si="7"/>
        <v>999.42339599999991</v>
      </c>
    </row>
    <row r="21" spans="1:23" x14ac:dyDescent="0.25">
      <c r="A21" s="6" t="s">
        <v>7</v>
      </c>
      <c r="B21" s="6" t="s">
        <v>11</v>
      </c>
      <c r="C21" s="17" t="s">
        <v>111</v>
      </c>
      <c r="D21" s="12" t="s">
        <v>22</v>
      </c>
      <c r="E21" s="26">
        <v>54.8</v>
      </c>
      <c r="F21" s="6" t="s">
        <v>20</v>
      </c>
      <c r="G21" s="35">
        <f>56.86+0.01</f>
        <v>56.87</v>
      </c>
      <c r="H21" s="35">
        <v>4.5199999999999996</v>
      </c>
      <c r="I21" s="36">
        <f t="shared" si="5"/>
        <v>61.39</v>
      </c>
      <c r="J21" s="37">
        <v>0.2666</v>
      </c>
      <c r="K21" s="38">
        <f t="shared" si="6"/>
        <v>3947.3285015999995</v>
      </c>
      <c r="L21" s="38">
        <f t="shared" si="6"/>
        <v>313.73175359999993</v>
      </c>
      <c r="M21" s="38">
        <f t="shared" si="6"/>
        <v>4261.0602552</v>
      </c>
      <c r="O21" s="33">
        <v>1</v>
      </c>
      <c r="P21" s="34">
        <f>O21*$M21</f>
        <v>4261.0602552</v>
      </c>
      <c r="Q21" s="27"/>
      <c r="R21" s="27"/>
      <c r="S21" s="27"/>
      <c r="T21" s="27"/>
      <c r="V21" s="28">
        <f t="shared" si="7"/>
        <v>1</v>
      </c>
      <c r="W21" s="8">
        <f t="shared" si="7"/>
        <v>4261.0602552</v>
      </c>
    </row>
    <row r="22" spans="1:23" ht="45" x14ac:dyDescent="0.25">
      <c r="A22" s="6" t="s">
        <v>7</v>
      </c>
      <c r="B22" s="6" t="s">
        <v>12</v>
      </c>
      <c r="C22" s="17" t="s">
        <v>112</v>
      </c>
      <c r="D22" s="12" t="s">
        <v>23</v>
      </c>
      <c r="E22" s="26">
        <v>520.38</v>
      </c>
      <c r="F22" s="6" t="s">
        <v>20</v>
      </c>
      <c r="G22" s="35">
        <v>1.26</v>
      </c>
      <c r="H22" s="35">
        <v>2.23</v>
      </c>
      <c r="I22" s="36">
        <f t="shared" si="5"/>
        <v>3.49</v>
      </c>
      <c r="J22" s="37">
        <v>0.2666</v>
      </c>
      <c r="K22" s="38">
        <f t="shared" si="6"/>
        <v>830.48276808000003</v>
      </c>
      <c r="L22" s="38">
        <f t="shared" si="6"/>
        <v>1469.82267684</v>
      </c>
      <c r="M22" s="38">
        <f t="shared" si="6"/>
        <v>2300.3054449199999</v>
      </c>
      <c r="O22" s="33">
        <v>1</v>
      </c>
      <c r="P22" s="34">
        <f>O22*$M22</f>
        <v>2300.3054449199999</v>
      </c>
      <c r="Q22" s="27"/>
      <c r="R22" s="27"/>
      <c r="S22" s="27"/>
      <c r="T22" s="27"/>
      <c r="V22" s="28">
        <f t="shared" si="7"/>
        <v>1</v>
      </c>
      <c r="W22" s="8">
        <f t="shared" si="7"/>
        <v>2300.3054449199999</v>
      </c>
    </row>
    <row r="23" spans="1:23" x14ac:dyDescent="0.25">
      <c r="I23" s="31" t="s">
        <v>35</v>
      </c>
      <c r="J23" s="31"/>
      <c r="K23" s="32">
        <f t="shared" ref="K23:L23" si="8">SUM(K18:K22)</f>
        <v>8839.493485680001</v>
      </c>
      <c r="L23" s="32">
        <f t="shared" si="8"/>
        <v>2017.4701184399999</v>
      </c>
      <c r="M23" s="32">
        <f>SUM(M18:M22)</f>
        <v>10856.963604119999</v>
      </c>
      <c r="P23" s="32">
        <f>SUM(P18:P22)</f>
        <v>9857.5402081200009</v>
      </c>
      <c r="R23" s="32">
        <f>SUM(R18:R22)</f>
        <v>999.42339599999991</v>
      </c>
      <c r="T23" s="32">
        <f>SUM(T18:T22)</f>
        <v>0</v>
      </c>
    </row>
    <row r="24" spans="1:23" ht="15.75" thickBot="1" x14ac:dyDescent="0.3"/>
    <row r="25" spans="1:23" ht="15.75" thickBot="1" x14ac:dyDescent="0.3">
      <c r="A25" s="64" t="s">
        <v>60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6"/>
    </row>
    <row r="26" spans="1:23" x14ac:dyDescent="0.25">
      <c r="A26" s="59" t="s">
        <v>38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O26" s="59"/>
      <c r="P26" s="59"/>
      <c r="Q26" s="59"/>
      <c r="R26" s="59"/>
      <c r="S26" s="59"/>
      <c r="T26" s="59"/>
    </row>
    <row r="27" spans="1:23" x14ac:dyDescent="0.25">
      <c r="A27" s="2" t="s">
        <v>1</v>
      </c>
      <c r="B27" s="3" t="s">
        <v>2</v>
      </c>
      <c r="C27" s="3" t="s">
        <v>3</v>
      </c>
      <c r="D27" s="3" t="s">
        <v>4</v>
      </c>
      <c r="E27" s="4" t="s">
        <v>5</v>
      </c>
      <c r="F27" s="3" t="s">
        <v>6</v>
      </c>
      <c r="G27" s="3" t="s">
        <v>28</v>
      </c>
      <c r="H27" s="3" t="s">
        <v>29</v>
      </c>
      <c r="I27" s="5" t="s">
        <v>30</v>
      </c>
      <c r="J27" s="5" t="s">
        <v>31</v>
      </c>
      <c r="K27" s="3" t="s">
        <v>32</v>
      </c>
      <c r="L27" s="3" t="s">
        <v>33</v>
      </c>
      <c r="M27" s="5" t="s">
        <v>34</v>
      </c>
    </row>
    <row r="28" spans="1:23" x14ac:dyDescent="0.25">
      <c r="A28" s="14" t="s">
        <v>14</v>
      </c>
      <c r="B28" s="14" t="s">
        <v>8</v>
      </c>
      <c r="C28" s="14" t="s">
        <v>15</v>
      </c>
      <c r="D28" s="15" t="s">
        <v>16</v>
      </c>
      <c r="E28" s="13">
        <v>1</v>
      </c>
      <c r="F28" s="7" t="s">
        <v>105</v>
      </c>
      <c r="G28" s="35">
        <v>218.54</v>
      </c>
      <c r="H28" s="35">
        <v>0</v>
      </c>
      <c r="I28" s="36">
        <f t="shared" ref="I28:I30" si="9">G28+H28</f>
        <v>218.54</v>
      </c>
      <c r="J28" s="37">
        <v>0.2666</v>
      </c>
      <c r="K28" s="38">
        <f t="shared" ref="K28:M30" si="10">$E28*G28*(1+$J28)</f>
        <v>276.80276399999997</v>
      </c>
      <c r="L28" s="38">
        <f t="shared" si="10"/>
        <v>0</v>
      </c>
      <c r="M28" s="38">
        <f t="shared" si="10"/>
        <v>276.80276399999997</v>
      </c>
      <c r="O28" s="33">
        <v>1</v>
      </c>
      <c r="P28" s="34">
        <f>O28*$M28</f>
        <v>276.80276399999997</v>
      </c>
      <c r="Q28" s="27"/>
      <c r="R28" s="27"/>
      <c r="S28" s="27"/>
      <c r="T28" s="27"/>
      <c r="V28" s="28">
        <f t="shared" ref="V28:W30" si="11">O28+Q28+S28</f>
        <v>1</v>
      </c>
      <c r="W28" s="8">
        <f t="shared" si="11"/>
        <v>276.80276399999997</v>
      </c>
    </row>
    <row r="29" spans="1:23" ht="30" x14ac:dyDescent="0.25">
      <c r="A29" s="6" t="s">
        <v>7</v>
      </c>
      <c r="B29" s="16" t="s">
        <v>9</v>
      </c>
      <c r="C29" s="14" t="s">
        <v>106</v>
      </c>
      <c r="D29" s="15" t="s">
        <v>17</v>
      </c>
      <c r="E29" s="13">
        <v>160</v>
      </c>
      <c r="F29" s="7" t="s">
        <v>46</v>
      </c>
      <c r="G29" s="35">
        <v>0.4</v>
      </c>
      <c r="H29" s="35">
        <v>70.260000000000005</v>
      </c>
      <c r="I29" s="36">
        <f t="shared" si="9"/>
        <v>70.660000000000011</v>
      </c>
      <c r="J29" s="37">
        <v>0.2666</v>
      </c>
      <c r="K29" s="38">
        <f t="shared" si="10"/>
        <v>81.062399999999997</v>
      </c>
      <c r="L29" s="38">
        <f t="shared" si="10"/>
        <v>14238.610559999999</v>
      </c>
      <c r="M29" s="38">
        <f t="shared" si="10"/>
        <v>14319.672960000002</v>
      </c>
      <c r="O29" s="27"/>
      <c r="P29" s="27"/>
      <c r="Q29" s="33">
        <v>0.5</v>
      </c>
      <c r="R29" s="34">
        <f>Q29*$M29</f>
        <v>7159.8364800000008</v>
      </c>
      <c r="S29" s="33">
        <v>0.5</v>
      </c>
      <c r="T29" s="34">
        <f>S29*$M29</f>
        <v>7159.8364800000008</v>
      </c>
      <c r="V29" s="28">
        <f t="shared" si="11"/>
        <v>1</v>
      </c>
      <c r="W29" s="8">
        <f t="shared" si="11"/>
        <v>14319.672960000002</v>
      </c>
    </row>
    <row r="30" spans="1:23" ht="30" x14ac:dyDescent="0.25">
      <c r="A30" s="6" t="s">
        <v>7</v>
      </c>
      <c r="B30" s="16" t="s">
        <v>10</v>
      </c>
      <c r="C30" s="14" t="s">
        <v>107</v>
      </c>
      <c r="D30" s="15" t="s">
        <v>18</v>
      </c>
      <c r="E30" s="13">
        <v>320</v>
      </c>
      <c r="F30" s="7" t="s">
        <v>46</v>
      </c>
      <c r="G30" s="35">
        <v>2.99</v>
      </c>
      <c r="H30" s="35">
        <v>19.010000000000002</v>
      </c>
      <c r="I30" s="36">
        <f t="shared" si="9"/>
        <v>22</v>
      </c>
      <c r="J30" s="37">
        <v>0.2666</v>
      </c>
      <c r="K30" s="38">
        <f t="shared" si="10"/>
        <v>1211.8828800000001</v>
      </c>
      <c r="L30" s="38">
        <f t="shared" si="10"/>
        <v>7704.9811200000004</v>
      </c>
      <c r="M30" s="38">
        <f t="shared" si="10"/>
        <v>8916.8639999999996</v>
      </c>
      <c r="O30" s="27"/>
      <c r="P30" s="27"/>
      <c r="Q30" s="33">
        <v>0.5</v>
      </c>
      <c r="R30" s="34">
        <f>Q30*$M30</f>
        <v>4458.4319999999998</v>
      </c>
      <c r="S30" s="33">
        <v>0.5</v>
      </c>
      <c r="T30" s="34">
        <f>S30*$M30</f>
        <v>4458.4319999999998</v>
      </c>
      <c r="V30" s="28">
        <f t="shared" si="11"/>
        <v>1</v>
      </c>
      <c r="W30" s="8">
        <f t="shared" si="11"/>
        <v>8916.8639999999996</v>
      </c>
    </row>
    <row r="31" spans="1:23" x14ac:dyDescent="0.25">
      <c r="A31" s="18"/>
      <c r="B31" s="19"/>
      <c r="C31" s="39"/>
      <c r="D31" s="21"/>
      <c r="E31" s="22"/>
      <c r="F31" s="23"/>
      <c r="G31" s="23"/>
      <c r="H31" s="23"/>
      <c r="I31" s="31" t="s">
        <v>35</v>
      </c>
      <c r="J31" s="31"/>
      <c r="K31" s="32">
        <f t="shared" ref="K31:L31" si="12">SUM(K28:K30)</f>
        <v>1569.7480439999999</v>
      </c>
      <c r="L31" s="32">
        <f t="shared" si="12"/>
        <v>21943.591679999998</v>
      </c>
      <c r="M31" s="32">
        <f>SUM(M28:M30)</f>
        <v>23513.339724000001</v>
      </c>
      <c r="P31" s="32">
        <f>SUM(P28:P30)</f>
        <v>276.80276399999997</v>
      </c>
      <c r="R31" s="32">
        <f>SUM(R28:R30)</f>
        <v>11618.268480000001</v>
      </c>
      <c r="T31" s="32">
        <f>SUM(T28:T30)</f>
        <v>11618.268480000001</v>
      </c>
    </row>
    <row r="32" spans="1:23" ht="15.75" thickBot="1" x14ac:dyDescent="0.3"/>
    <row r="33" spans="1:23" ht="15.75" thickBot="1" x14ac:dyDescent="0.3">
      <c r="A33" s="64" t="s">
        <v>61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6"/>
    </row>
    <row r="34" spans="1:23" ht="15.75" thickBot="1" x14ac:dyDescent="0.3">
      <c r="A34" s="59" t="s">
        <v>64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  <c r="O34" s="59"/>
      <c r="P34" s="59"/>
      <c r="Q34" s="59"/>
      <c r="R34" s="59"/>
      <c r="S34" s="59"/>
      <c r="T34" s="59"/>
    </row>
    <row r="35" spans="1:23" x14ac:dyDescent="0.25">
      <c r="A35" s="9" t="s">
        <v>1</v>
      </c>
      <c r="B35" s="10" t="s">
        <v>2</v>
      </c>
      <c r="C35" s="10" t="s">
        <v>3</v>
      </c>
      <c r="D35" s="11" t="s">
        <v>4</v>
      </c>
      <c r="E35" s="4" t="s">
        <v>5</v>
      </c>
      <c r="F35" s="3" t="s">
        <v>6</v>
      </c>
      <c r="G35" s="3" t="s">
        <v>28</v>
      </c>
      <c r="H35" s="3" t="s">
        <v>29</v>
      </c>
      <c r="I35" s="5" t="s">
        <v>30</v>
      </c>
      <c r="J35" s="5" t="s">
        <v>31</v>
      </c>
      <c r="K35" s="3" t="s">
        <v>32</v>
      </c>
      <c r="L35" s="3" t="s">
        <v>33</v>
      </c>
      <c r="M35" s="5" t="s">
        <v>34</v>
      </c>
    </row>
    <row r="36" spans="1:23" ht="45" x14ac:dyDescent="0.25">
      <c r="A36" s="45" t="s">
        <v>113</v>
      </c>
      <c r="B36" s="46" t="s">
        <v>8</v>
      </c>
      <c r="C36" s="47" t="s">
        <v>15</v>
      </c>
      <c r="D36" s="12" t="s">
        <v>65</v>
      </c>
      <c r="E36" s="13">
        <v>1</v>
      </c>
      <c r="F36" s="6" t="s">
        <v>6</v>
      </c>
      <c r="G36" s="35">
        <v>109600</v>
      </c>
      <c r="H36" s="35">
        <v>0</v>
      </c>
      <c r="I36" s="36">
        <f t="shared" ref="I36:I38" si="13">G36+H36</f>
        <v>109600</v>
      </c>
      <c r="J36" s="44">
        <v>0.15160000000000001</v>
      </c>
      <c r="K36" s="38">
        <f t="shared" ref="K36:M38" si="14">$E36*G36*(1+$J36)</f>
        <v>126215.36</v>
      </c>
      <c r="L36" s="38">
        <f t="shared" si="14"/>
        <v>0</v>
      </c>
      <c r="M36" s="38">
        <f t="shared" si="14"/>
        <v>126215.36</v>
      </c>
      <c r="O36" s="27"/>
      <c r="P36" s="27"/>
      <c r="Q36" s="33">
        <v>0.2</v>
      </c>
      <c r="R36" s="34">
        <f t="shared" ref="R36:T38" si="15">Q36*$M36</f>
        <v>25243.072</v>
      </c>
      <c r="S36" s="33">
        <v>0.8</v>
      </c>
      <c r="T36" s="34">
        <f t="shared" si="15"/>
        <v>100972.288</v>
      </c>
      <c r="V36" s="28">
        <f t="shared" ref="V36:W38" si="16">O36+Q36+S36</f>
        <v>1</v>
      </c>
      <c r="W36" s="8">
        <f t="shared" si="16"/>
        <v>126215.36</v>
      </c>
    </row>
    <row r="37" spans="1:23" ht="45" x14ac:dyDescent="0.25">
      <c r="A37" s="6" t="s">
        <v>7</v>
      </c>
      <c r="B37" s="6" t="s">
        <v>114</v>
      </c>
      <c r="C37" s="17" t="s">
        <v>115</v>
      </c>
      <c r="D37" s="12" t="s">
        <v>45</v>
      </c>
      <c r="E37" s="13">
        <v>40</v>
      </c>
      <c r="F37" s="6" t="s">
        <v>46</v>
      </c>
      <c r="G37" s="35">
        <v>117.13</v>
      </c>
      <c r="H37" s="35">
        <v>0</v>
      </c>
      <c r="I37" s="36">
        <f t="shared" si="13"/>
        <v>117.13</v>
      </c>
      <c r="J37" s="37">
        <v>0.2666</v>
      </c>
      <c r="K37" s="38">
        <f t="shared" si="14"/>
        <v>5934.2743199999995</v>
      </c>
      <c r="L37" s="38">
        <f t="shared" si="14"/>
        <v>0</v>
      </c>
      <c r="M37" s="38">
        <f t="shared" si="14"/>
        <v>5934.2743199999995</v>
      </c>
      <c r="O37" s="27"/>
      <c r="P37" s="27"/>
      <c r="Q37" s="27"/>
      <c r="R37" s="27"/>
      <c r="S37" s="33">
        <v>1</v>
      </c>
      <c r="T37" s="34">
        <f t="shared" si="15"/>
        <v>5934.2743199999995</v>
      </c>
      <c r="V37" s="28">
        <f t="shared" si="16"/>
        <v>1</v>
      </c>
      <c r="W37" s="8">
        <f t="shared" si="16"/>
        <v>5934.2743199999995</v>
      </c>
    </row>
    <row r="38" spans="1:23" ht="30" x14ac:dyDescent="0.25">
      <c r="A38" s="41" t="s">
        <v>7</v>
      </c>
      <c r="B38" s="41" t="s">
        <v>116</v>
      </c>
      <c r="C38" s="42" t="s">
        <v>117</v>
      </c>
      <c r="D38" s="12" t="s">
        <v>118</v>
      </c>
      <c r="E38" s="13">
        <v>40</v>
      </c>
      <c r="F38" s="6" t="s">
        <v>46</v>
      </c>
      <c r="G38" s="35">
        <v>3.76</v>
      </c>
      <c r="H38" s="35">
        <v>17.82</v>
      </c>
      <c r="I38" s="36">
        <f t="shared" si="13"/>
        <v>21.58</v>
      </c>
      <c r="J38" s="37">
        <v>0.2666</v>
      </c>
      <c r="K38" s="38">
        <f t="shared" si="14"/>
        <v>190.49663999999996</v>
      </c>
      <c r="L38" s="38">
        <f t="shared" si="14"/>
        <v>902.83247999999992</v>
      </c>
      <c r="M38" s="38">
        <f t="shared" si="14"/>
        <v>1093.3291199999999</v>
      </c>
      <c r="O38" s="27"/>
      <c r="P38" s="27"/>
      <c r="Q38" s="27"/>
      <c r="R38" s="27"/>
      <c r="S38" s="33">
        <v>1</v>
      </c>
      <c r="T38" s="34">
        <f t="shared" si="15"/>
        <v>1093.3291199999999</v>
      </c>
      <c r="V38" s="28">
        <f t="shared" si="16"/>
        <v>1</v>
      </c>
      <c r="W38" s="8">
        <f t="shared" si="16"/>
        <v>1093.3291199999999</v>
      </c>
    </row>
    <row r="39" spans="1:23" x14ac:dyDescent="0.25">
      <c r="C39" s="43"/>
      <c r="I39" s="31" t="s">
        <v>35</v>
      </c>
      <c r="J39" s="31"/>
      <c r="K39" s="32">
        <f t="shared" ref="K39:L39" si="17">SUM(K36:K38)</f>
        <v>132340.13096000001</v>
      </c>
      <c r="L39" s="32">
        <f t="shared" si="17"/>
        <v>902.83247999999992</v>
      </c>
      <c r="M39" s="32">
        <f>SUM(M36:M38)</f>
        <v>133242.96344000002</v>
      </c>
      <c r="P39" s="32">
        <f>SUM(P36:P38)</f>
        <v>0</v>
      </c>
      <c r="R39" s="32">
        <f>SUM(R36:R38)</f>
        <v>25243.072</v>
      </c>
      <c r="T39" s="32">
        <f>SUM(T36:T38)</f>
        <v>107999.89143999999</v>
      </c>
    </row>
    <row r="40" spans="1:23" ht="15.75" thickBot="1" x14ac:dyDescent="0.3"/>
    <row r="41" spans="1:23" ht="15.75" thickBot="1" x14ac:dyDescent="0.3">
      <c r="A41" s="59" t="s">
        <v>66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  <c r="O41" s="59"/>
      <c r="P41" s="59"/>
      <c r="Q41" s="59"/>
      <c r="R41" s="59"/>
      <c r="S41" s="59"/>
      <c r="T41" s="59"/>
    </row>
    <row r="42" spans="1:23" x14ac:dyDescent="0.25">
      <c r="A42" s="9" t="s">
        <v>1</v>
      </c>
      <c r="B42" s="10" t="s">
        <v>2</v>
      </c>
      <c r="C42" s="10" t="s">
        <v>3</v>
      </c>
      <c r="D42" s="11" t="s">
        <v>4</v>
      </c>
      <c r="E42" s="4" t="s">
        <v>5</v>
      </c>
      <c r="F42" s="3" t="s">
        <v>6</v>
      </c>
      <c r="G42" s="3" t="s">
        <v>28</v>
      </c>
      <c r="H42" s="3" t="s">
        <v>29</v>
      </c>
      <c r="I42" s="5" t="s">
        <v>30</v>
      </c>
      <c r="J42" s="5" t="s">
        <v>31</v>
      </c>
      <c r="K42" s="3" t="s">
        <v>32</v>
      </c>
      <c r="L42" s="3" t="s">
        <v>33</v>
      </c>
      <c r="M42" s="5" t="s">
        <v>34</v>
      </c>
    </row>
    <row r="43" spans="1:23" x14ac:dyDescent="0.25">
      <c r="A43" s="6" t="s">
        <v>7</v>
      </c>
      <c r="B43" s="6" t="s">
        <v>47</v>
      </c>
      <c r="C43" s="17" t="s">
        <v>119</v>
      </c>
      <c r="D43" s="12" t="s">
        <v>120</v>
      </c>
      <c r="E43" s="13">
        <v>75</v>
      </c>
      <c r="F43" s="6" t="s">
        <v>42</v>
      </c>
      <c r="G43" s="35">
        <f>0.12+70.45</f>
        <v>70.570000000000007</v>
      </c>
      <c r="H43" s="35">
        <v>22.78</v>
      </c>
      <c r="I43" s="36">
        <f t="shared" ref="I43" si="18">G43+H43</f>
        <v>93.350000000000009</v>
      </c>
      <c r="J43" s="37">
        <v>0.2666</v>
      </c>
      <c r="K43" s="38">
        <f t="shared" ref="K43:M43" si="19">$E43*G43*(1+$J43)</f>
        <v>6703.7971500000012</v>
      </c>
      <c r="L43" s="38">
        <f t="shared" si="19"/>
        <v>2163.9861000000001</v>
      </c>
      <c r="M43" s="38">
        <f t="shared" si="19"/>
        <v>8867.7832500000004</v>
      </c>
      <c r="O43" s="27"/>
      <c r="P43" s="27"/>
      <c r="Q43" s="33">
        <v>0.3</v>
      </c>
      <c r="R43" s="34">
        <f>Q43*$M43</f>
        <v>2660.3349750000002</v>
      </c>
      <c r="S43" s="33">
        <v>0.7</v>
      </c>
      <c r="T43" s="34">
        <f>S43*$M43</f>
        <v>6207.4482749999997</v>
      </c>
      <c r="V43" s="28">
        <f t="shared" ref="V43:W44" si="20">O43+Q43+S43</f>
        <v>1</v>
      </c>
      <c r="W43" s="8">
        <f t="shared" si="20"/>
        <v>8867.7832500000004</v>
      </c>
    </row>
    <row r="44" spans="1:23" x14ac:dyDescent="0.25">
      <c r="A44" s="6"/>
      <c r="B44" s="6"/>
      <c r="C44" s="17"/>
      <c r="D44" s="12"/>
      <c r="E44" s="13"/>
      <c r="F44" s="6"/>
      <c r="G44" s="6"/>
      <c r="H44" s="6"/>
      <c r="I44" s="6"/>
      <c r="J44" s="6"/>
      <c r="K44" s="6"/>
      <c r="L44" s="6"/>
      <c r="M44" s="6"/>
      <c r="V44" s="28">
        <f t="shared" si="20"/>
        <v>0</v>
      </c>
      <c r="W44" s="8">
        <f t="shared" si="20"/>
        <v>0</v>
      </c>
    </row>
    <row r="45" spans="1:23" x14ac:dyDescent="0.25">
      <c r="I45" s="31" t="s">
        <v>35</v>
      </c>
      <c r="J45" s="31"/>
      <c r="K45" s="32">
        <f t="shared" ref="K45:L45" si="21">SUM(K42:K44)</f>
        <v>6703.7971500000012</v>
      </c>
      <c r="L45" s="32">
        <f t="shared" si="21"/>
        <v>2163.9861000000001</v>
      </c>
      <c r="M45" s="32">
        <f>SUM(M42:M44)</f>
        <v>8867.7832500000004</v>
      </c>
      <c r="P45" s="32">
        <f>SUM(P42:P44)</f>
        <v>0</v>
      </c>
      <c r="R45" s="32">
        <f>SUM(R42:R44)</f>
        <v>2660.3349750000002</v>
      </c>
      <c r="T45" s="32">
        <f>SUM(T42:T44)</f>
        <v>6207.4482749999997</v>
      </c>
    </row>
    <row r="46" spans="1:23" ht="15.75" thickBot="1" x14ac:dyDescent="0.3"/>
    <row r="47" spans="1:23" ht="15.75" thickBot="1" x14ac:dyDescent="0.3">
      <c r="A47" s="59" t="s">
        <v>67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O47" s="59"/>
      <c r="P47" s="59"/>
      <c r="Q47" s="59"/>
      <c r="R47" s="59"/>
      <c r="S47" s="59"/>
      <c r="T47" s="59"/>
    </row>
    <row r="48" spans="1:23" x14ac:dyDescent="0.25">
      <c r="A48" s="9" t="s">
        <v>1</v>
      </c>
      <c r="B48" s="10" t="s">
        <v>2</v>
      </c>
      <c r="C48" s="10" t="s">
        <v>3</v>
      </c>
      <c r="D48" s="11" t="s">
        <v>4</v>
      </c>
      <c r="E48" s="4" t="s">
        <v>5</v>
      </c>
      <c r="F48" s="3" t="s">
        <v>6</v>
      </c>
      <c r="G48" s="3" t="s">
        <v>28</v>
      </c>
      <c r="H48" s="3" t="s">
        <v>29</v>
      </c>
      <c r="I48" s="5" t="s">
        <v>30</v>
      </c>
      <c r="J48" s="5" t="s">
        <v>31</v>
      </c>
      <c r="K48" s="3" t="s">
        <v>32</v>
      </c>
      <c r="L48" s="3" t="s">
        <v>33</v>
      </c>
      <c r="M48" s="5" t="s">
        <v>34</v>
      </c>
    </row>
    <row r="49" spans="1:23" ht="30" x14ac:dyDescent="0.25">
      <c r="A49" s="6" t="s">
        <v>7</v>
      </c>
      <c r="B49" s="6" t="s">
        <v>68</v>
      </c>
      <c r="C49" s="17" t="s">
        <v>121</v>
      </c>
      <c r="D49" s="12" t="s">
        <v>69</v>
      </c>
      <c r="E49" s="13">
        <v>17.5</v>
      </c>
      <c r="F49" s="6" t="s">
        <v>42</v>
      </c>
      <c r="G49" s="35">
        <f>0.26+22.95</f>
        <v>23.21</v>
      </c>
      <c r="H49" s="35">
        <v>55.69</v>
      </c>
      <c r="I49" s="36">
        <f t="shared" ref="I49:I69" si="22">G49+H49</f>
        <v>78.900000000000006</v>
      </c>
      <c r="J49" s="37">
        <v>0.2666</v>
      </c>
      <c r="K49" s="38">
        <f t="shared" ref="K49:M64" si="23">$E49*G49*(1+$J49)</f>
        <v>514.46125499999994</v>
      </c>
      <c r="L49" s="38">
        <f t="shared" si="23"/>
        <v>1234.3966949999999</v>
      </c>
      <c r="M49" s="38">
        <f t="shared" si="23"/>
        <v>1748.8579499999998</v>
      </c>
      <c r="O49" s="33">
        <v>1</v>
      </c>
      <c r="P49" s="34">
        <f>O49*$M49</f>
        <v>1748.8579499999998</v>
      </c>
      <c r="Q49" s="27"/>
      <c r="R49" s="27"/>
      <c r="S49" s="27"/>
      <c r="T49" s="27"/>
      <c r="V49" s="28">
        <f t="shared" ref="V49:W69" si="24">O49+Q49+S49</f>
        <v>1</v>
      </c>
      <c r="W49" s="8">
        <f t="shared" si="24"/>
        <v>1748.8579499999998</v>
      </c>
    </row>
    <row r="50" spans="1:23" ht="30" x14ac:dyDescent="0.25">
      <c r="A50" s="6" t="s">
        <v>7</v>
      </c>
      <c r="B50" s="6" t="s">
        <v>70</v>
      </c>
      <c r="C50" s="17" t="s">
        <v>122</v>
      </c>
      <c r="D50" s="12" t="s">
        <v>71</v>
      </c>
      <c r="E50" s="13">
        <v>22.5</v>
      </c>
      <c r="F50" s="6" t="s">
        <v>41</v>
      </c>
      <c r="G50" s="35">
        <f>0.01+4.89</f>
        <v>4.8999999999999995</v>
      </c>
      <c r="H50" s="35">
        <v>3.69</v>
      </c>
      <c r="I50" s="36">
        <f t="shared" si="22"/>
        <v>8.59</v>
      </c>
      <c r="J50" s="37">
        <v>0.2666</v>
      </c>
      <c r="K50" s="38">
        <f t="shared" si="23"/>
        <v>139.64264999999997</v>
      </c>
      <c r="L50" s="38">
        <f t="shared" si="23"/>
        <v>105.159465</v>
      </c>
      <c r="M50" s="38">
        <f t="shared" si="23"/>
        <v>244.80211499999999</v>
      </c>
      <c r="O50" s="33">
        <v>1</v>
      </c>
      <c r="P50" s="34">
        <f t="shared" ref="P50:R63" si="25">O50*$M50</f>
        <v>244.80211499999999</v>
      </c>
      <c r="Q50" s="27"/>
      <c r="R50" s="27"/>
      <c r="S50" s="27"/>
      <c r="T50" s="27"/>
      <c r="V50" s="28">
        <f t="shared" si="24"/>
        <v>1</v>
      </c>
      <c r="W50" s="8">
        <f t="shared" si="24"/>
        <v>244.80211499999999</v>
      </c>
    </row>
    <row r="51" spans="1:23" x14ac:dyDescent="0.25">
      <c r="A51" s="6" t="s">
        <v>7</v>
      </c>
      <c r="B51" s="6" t="s">
        <v>72</v>
      </c>
      <c r="C51" s="17" t="s">
        <v>124</v>
      </c>
      <c r="D51" s="12" t="s">
        <v>55</v>
      </c>
      <c r="E51" s="13">
        <v>6</v>
      </c>
      <c r="F51" s="6" t="s">
        <v>42</v>
      </c>
      <c r="G51" s="35">
        <f>0.03+8.45</f>
        <v>8.4799999999999986</v>
      </c>
      <c r="H51" s="35">
        <v>11.49</v>
      </c>
      <c r="I51" s="36">
        <f t="shared" si="22"/>
        <v>19.97</v>
      </c>
      <c r="J51" s="37">
        <v>0.2666</v>
      </c>
      <c r="K51" s="38">
        <f t="shared" si="23"/>
        <v>64.444607999999988</v>
      </c>
      <c r="L51" s="38">
        <f t="shared" si="23"/>
        <v>87.319403999999992</v>
      </c>
      <c r="M51" s="38">
        <f t="shared" si="23"/>
        <v>151.76401199999998</v>
      </c>
      <c r="O51" s="33">
        <v>1</v>
      </c>
      <c r="P51" s="34">
        <f t="shared" si="25"/>
        <v>151.76401199999998</v>
      </c>
      <c r="Q51" s="27"/>
      <c r="R51" s="27"/>
      <c r="S51" s="27"/>
      <c r="T51" s="27"/>
      <c r="V51" s="28">
        <f t="shared" si="24"/>
        <v>1</v>
      </c>
      <c r="W51" s="8">
        <f t="shared" si="24"/>
        <v>151.76401199999998</v>
      </c>
    </row>
    <row r="52" spans="1:23" ht="45" x14ac:dyDescent="0.25">
      <c r="A52" s="6" t="s">
        <v>7</v>
      </c>
      <c r="B52" s="6" t="s">
        <v>73</v>
      </c>
      <c r="C52" s="17" t="s">
        <v>125</v>
      </c>
      <c r="D52" s="12" t="s">
        <v>74</v>
      </c>
      <c r="E52" s="13">
        <v>12</v>
      </c>
      <c r="F52" s="6" t="s">
        <v>41</v>
      </c>
      <c r="G52" s="35">
        <f>0.06+20.29+0.02</f>
        <v>20.369999999999997</v>
      </c>
      <c r="H52" s="35">
        <v>19.05</v>
      </c>
      <c r="I52" s="36">
        <f t="shared" si="22"/>
        <v>39.42</v>
      </c>
      <c r="J52" s="37">
        <v>0.2666</v>
      </c>
      <c r="K52" s="38">
        <f t="shared" si="23"/>
        <v>309.60770399999996</v>
      </c>
      <c r="L52" s="38">
        <f t="shared" si="23"/>
        <v>289.54476</v>
      </c>
      <c r="M52" s="38">
        <f t="shared" si="23"/>
        <v>599.15246400000001</v>
      </c>
      <c r="O52" s="33">
        <v>1</v>
      </c>
      <c r="P52" s="34">
        <f t="shared" si="25"/>
        <v>599.15246400000001</v>
      </c>
      <c r="Q52" s="27"/>
      <c r="R52" s="27"/>
      <c r="S52" s="27"/>
      <c r="T52" s="27"/>
      <c r="V52" s="28">
        <f t="shared" si="24"/>
        <v>1</v>
      </c>
      <c r="W52" s="8">
        <f t="shared" si="24"/>
        <v>599.15246400000001</v>
      </c>
    </row>
    <row r="53" spans="1:23" ht="45" x14ac:dyDescent="0.25">
      <c r="A53" s="6" t="s">
        <v>7</v>
      </c>
      <c r="B53" s="6" t="s">
        <v>75</v>
      </c>
      <c r="C53" s="17" t="s">
        <v>126</v>
      </c>
      <c r="D53" s="12" t="s">
        <v>76</v>
      </c>
      <c r="E53" s="13">
        <v>9</v>
      </c>
      <c r="F53" s="6" t="s">
        <v>41</v>
      </c>
      <c r="G53" s="35">
        <f>0.18+35.32+0.13</f>
        <v>35.630000000000003</v>
      </c>
      <c r="H53" s="35">
        <v>46.2</v>
      </c>
      <c r="I53" s="36">
        <f t="shared" si="22"/>
        <v>81.830000000000013</v>
      </c>
      <c r="J53" s="37">
        <v>0.2666</v>
      </c>
      <c r="K53" s="38">
        <f t="shared" si="23"/>
        <v>406.16062199999999</v>
      </c>
      <c r="L53" s="38">
        <f t="shared" si="23"/>
        <v>526.65228000000002</v>
      </c>
      <c r="M53" s="38">
        <f t="shared" si="23"/>
        <v>932.81290200000012</v>
      </c>
      <c r="O53" s="33">
        <v>1</v>
      </c>
      <c r="P53" s="34">
        <f t="shared" si="25"/>
        <v>932.81290200000012</v>
      </c>
      <c r="Q53" s="27"/>
      <c r="R53" s="27"/>
      <c r="S53" s="27"/>
      <c r="T53" s="27"/>
      <c r="V53" s="28">
        <f t="shared" si="24"/>
        <v>1</v>
      </c>
      <c r="W53" s="8">
        <f t="shared" si="24"/>
        <v>932.81290200000012</v>
      </c>
    </row>
    <row r="54" spans="1:23" ht="30" x14ac:dyDescent="0.25">
      <c r="A54" s="6" t="s">
        <v>7</v>
      </c>
      <c r="B54" s="6" t="s">
        <v>77</v>
      </c>
      <c r="C54" s="17" t="s">
        <v>127</v>
      </c>
      <c r="D54" s="12" t="s">
        <v>78</v>
      </c>
      <c r="E54" s="13">
        <v>35</v>
      </c>
      <c r="F54" s="6" t="s">
        <v>39</v>
      </c>
      <c r="G54" s="35">
        <v>7.63</v>
      </c>
      <c r="H54" s="35">
        <v>2.84</v>
      </c>
      <c r="I54" s="36">
        <f t="shared" si="22"/>
        <v>10.469999999999999</v>
      </c>
      <c r="J54" s="37">
        <v>0.2666</v>
      </c>
      <c r="K54" s="38">
        <f t="shared" si="23"/>
        <v>338.24552999999997</v>
      </c>
      <c r="L54" s="38">
        <f t="shared" si="23"/>
        <v>125.90003999999999</v>
      </c>
      <c r="M54" s="38">
        <f t="shared" si="23"/>
        <v>464.14556999999991</v>
      </c>
      <c r="O54" s="33">
        <v>1</v>
      </c>
      <c r="P54" s="34">
        <f t="shared" si="25"/>
        <v>464.14556999999991</v>
      </c>
      <c r="Q54" s="27"/>
      <c r="R54" s="27"/>
      <c r="S54" s="27"/>
      <c r="T54" s="27"/>
      <c r="V54" s="28">
        <f t="shared" si="24"/>
        <v>1</v>
      </c>
      <c r="W54" s="8">
        <f t="shared" si="24"/>
        <v>464.14556999999991</v>
      </c>
    </row>
    <row r="55" spans="1:23" ht="45" x14ac:dyDescent="0.25">
      <c r="A55" s="6" t="s">
        <v>7</v>
      </c>
      <c r="B55" s="6" t="s">
        <v>79</v>
      </c>
      <c r="C55" s="17" t="s">
        <v>128</v>
      </c>
      <c r="D55" s="12" t="s">
        <v>80</v>
      </c>
      <c r="E55" s="13">
        <v>1.5</v>
      </c>
      <c r="F55" s="6" t="s">
        <v>42</v>
      </c>
      <c r="G55" s="35">
        <f>2.51+332.21+1.2</f>
        <v>335.91999999999996</v>
      </c>
      <c r="H55" s="35">
        <v>94.07</v>
      </c>
      <c r="I55" s="36">
        <f t="shared" si="22"/>
        <v>429.98999999999995</v>
      </c>
      <c r="J55" s="37">
        <v>0.2666</v>
      </c>
      <c r="K55" s="38">
        <f t="shared" si="23"/>
        <v>638.21440799999993</v>
      </c>
      <c r="L55" s="38">
        <f t="shared" si="23"/>
        <v>178.72359299999999</v>
      </c>
      <c r="M55" s="38">
        <f t="shared" si="23"/>
        <v>816.93800099999987</v>
      </c>
      <c r="O55" s="33">
        <v>1</v>
      </c>
      <c r="P55" s="34">
        <f t="shared" si="25"/>
        <v>816.93800099999987</v>
      </c>
      <c r="Q55" s="27"/>
      <c r="R55" s="27"/>
      <c r="S55" s="27"/>
      <c r="T55" s="27"/>
      <c r="V55" s="28">
        <f t="shared" si="24"/>
        <v>1</v>
      </c>
      <c r="W55" s="8">
        <f t="shared" si="24"/>
        <v>816.93800099999987</v>
      </c>
    </row>
    <row r="56" spans="1:23" ht="30" x14ac:dyDescent="0.25">
      <c r="A56" s="6" t="s">
        <v>7</v>
      </c>
      <c r="B56" s="6" t="s">
        <v>81</v>
      </c>
      <c r="C56" s="17" t="s">
        <v>129</v>
      </c>
      <c r="D56" s="12" t="s">
        <v>82</v>
      </c>
      <c r="E56" s="13">
        <v>28</v>
      </c>
      <c r="F56" s="6" t="s">
        <v>40</v>
      </c>
      <c r="G56" s="35">
        <f>0.01+21.6+0.02</f>
        <v>21.630000000000003</v>
      </c>
      <c r="H56" s="35">
        <v>8.4700000000000006</v>
      </c>
      <c r="I56" s="36">
        <f t="shared" si="22"/>
        <v>30.1</v>
      </c>
      <c r="J56" s="37">
        <v>0.2666</v>
      </c>
      <c r="K56" s="38">
        <f t="shared" si="23"/>
        <v>767.10362400000008</v>
      </c>
      <c r="L56" s="38">
        <f t="shared" si="23"/>
        <v>300.38685600000002</v>
      </c>
      <c r="M56" s="38">
        <f t="shared" si="23"/>
        <v>1067.4904799999999</v>
      </c>
      <c r="O56" s="33">
        <v>1</v>
      </c>
      <c r="P56" s="34">
        <f t="shared" si="25"/>
        <v>1067.4904799999999</v>
      </c>
      <c r="Q56" s="27"/>
      <c r="R56" s="27"/>
      <c r="S56" s="27"/>
      <c r="T56" s="27"/>
      <c r="V56" s="28">
        <f t="shared" si="24"/>
        <v>1</v>
      </c>
      <c r="W56" s="8">
        <f t="shared" si="24"/>
        <v>1067.4904799999999</v>
      </c>
    </row>
    <row r="57" spans="1:23" ht="60" x14ac:dyDescent="0.25">
      <c r="A57" s="6" t="s">
        <v>7</v>
      </c>
      <c r="B57" s="6" t="s">
        <v>83</v>
      </c>
      <c r="C57" s="17" t="s">
        <v>130</v>
      </c>
      <c r="D57" s="12" t="s">
        <v>84</v>
      </c>
      <c r="E57" s="13">
        <v>70</v>
      </c>
      <c r="F57" s="6" t="s">
        <v>41</v>
      </c>
      <c r="G57" s="35">
        <f>0.01+26.17</f>
        <v>26.180000000000003</v>
      </c>
      <c r="H57" s="35">
        <v>8.83</v>
      </c>
      <c r="I57" s="36">
        <f t="shared" si="22"/>
        <v>35.010000000000005</v>
      </c>
      <c r="J57" s="37">
        <v>0.2666</v>
      </c>
      <c r="K57" s="38">
        <f t="shared" si="23"/>
        <v>2321.1711599999999</v>
      </c>
      <c r="L57" s="38">
        <f t="shared" si="23"/>
        <v>782.88545999999997</v>
      </c>
      <c r="M57" s="38">
        <f t="shared" si="23"/>
        <v>3104.0566200000003</v>
      </c>
      <c r="O57" s="33">
        <v>0.5</v>
      </c>
      <c r="P57" s="34">
        <f t="shared" si="25"/>
        <v>1552.0283100000001</v>
      </c>
      <c r="Q57" s="33">
        <v>0.5</v>
      </c>
      <c r="R57" s="34">
        <f t="shared" si="25"/>
        <v>1552.0283100000001</v>
      </c>
      <c r="S57" s="27"/>
      <c r="T57" s="27"/>
      <c r="V57" s="28">
        <f t="shared" si="24"/>
        <v>1</v>
      </c>
      <c r="W57" s="8">
        <f t="shared" si="24"/>
        <v>3104.0566200000003</v>
      </c>
    </row>
    <row r="58" spans="1:23" ht="60" x14ac:dyDescent="0.25">
      <c r="A58" s="6" t="s">
        <v>7</v>
      </c>
      <c r="B58" s="6" t="s">
        <v>85</v>
      </c>
      <c r="C58" s="17" t="s">
        <v>131</v>
      </c>
      <c r="D58" s="12" t="s">
        <v>86</v>
      </c>
      <c r="E58" s="13">
        <v>140</v>
      </c>
      <c r="F58" s="6" t="s">
        <v>41</v>
      </c>
      <c r="G58" s="35">
        <v>1.86</v>
      </c>
      <c r="H58" s="35">
        <v>2.64</v>
      </c>
      <c r="I58" s="36">
        <f t="shared" si="22"/>
        <v>4.5</v>
      </c>
      <c r="J58" s="37">
        <v>0.2666</v>
      </c>
      <c r="K58" s="38">
        <f t="shared" si="23"/>
        <v>329.82264000000004</v>
      </c>
      <c r="L58" s="38">
        <f t="shared" si="23"/>
        <v>468.13535999999999</v>
      </c>
      <c r="M58" s="38">
        <f t="shared" si="23"/>
        <v>797.95799999999997</v>
      </c>
      <c r="O58" s="27"/>
      <c r="P58" s="27"/>
      <c r="Q58" s="33">
        <v>1</v>
      </c>
      <c r="R58" s="34">
        <f t="shared" si="25"/>
        <v>797.95799999999997</v>
      </c>
      <c r="S58" s="27"/>
      <c r="T58" s="27"/>
      <c r="V58" s="28">
        <f t="shared" si="24"/>
        <v>1</v>
      </c>
      <c r="W58" s="8">
        <f t="shared" si="24"/>
        <v>797.95799999999997</v>
      </c>
    </row>
    <row r="59" spans="1:23" ht="75" x14ac:dyDescent="0.25">
      <c r="A59" s="6" t="s">
        <v>7</v>
      </c>
      <c r="B59" s="6" t="s">
        <v>87</v>
      </c>
      <c r="C59" s="17" t="s">
        <v>132</v>
      </c>
      <c r="D59" s="12" t="s">
        <v>88</v>
      </c>
      <c r="E59" s="13">
        <v>11.25</v>
      </c>
      <c r="F59" s="6" t="s">
        <v>89</v>
      </c>
      <c r="G59" s="35">
        <f>8.73+8.46</f>
        <v>17.190000000000001</v>
      </c>
      <c r="H59" s="35">
        <v>12.72</v>
      </c>
      <c r="I59" s="36">
        <f t="shared" si="22"/>
        <v>29.910000000000004</v>
      </c>
      <c r="J59" s="37">
        <v>0.2666</v>
      </c>
      <c r="K59" s="38">
        <f t="shared" si="23"/>
        <v>244.94460750000002</v>
      </c>
      <c r="L59" s="38">
        <f t="shared" si="23"/>
        <v>181.25045999999998</v>
      </c>
      <c r="M59" s="38">
        <f t="shared" si="23"/>
        <v>426.19506750000005</v>
      </c>
      <c r="O59" s="27"/>
      <c r="P59" s="27"/>
      <c r="Q59" s="33">
        <v>1</v>
      </c>
      <c r="R59" s="34">
        <f t="shared" si="25"/>
        <v>426.19506750000005</v>
      </c>
      <c r="S59" s="27"/>
      <c r="T59" s="27"/>
      <c r="V59" s="28">
        <f t="shared" si="24"/>
        <v>1</v>
      </c>
      <c r="W59" s="8">
        <f t="shared" si="24"/>
        <v>426.19506750000005</v>
      </c>
    </row>
    <row r="60" spans="1:23" ht="60" x14ac:dyDescent="0.25">
      <c r="A60" s="6" t="s">
        <v>7</v>
      </c>
      <c r="B60" s="6" t="s">
        <v>90</v>
      </c>
      <c r="C60" s="17" t="s">
        <v>133</v>
      </c>
      <c r="D60" s="12" t="s">
        <v>91</v>
      </c>
      <c r="E60" s="13">
        <v>30</v>
      </c>
      <c r="F60" s="6" t="s">
        <v>39</v>
      </c>
      <c r="G60" s="35">
        <v>7.62</v>
      </c>
      <c r="H60" s="35">
        <v>2.89</v>
      </c>
      <c r="I60" s="36">
        <f t="shared" si="22"/>
        <v>10.51</v>
      </c>
      <c r="J60" s="37">
        <v>0.2666</v>
      </c>
      <c r="K60" s="38">
        <f t="shared" si="23"/>
        <v>289.54476</v>
      </c>
      <c r="L60" s="38">
        <f t="shared" si="23"/>
        <v>109.81422000000001</v>
      </c>
      <c r="M60" s="38">
        <f t="shared" si="23"/>
        <v>399.35897999999997</v>
      </c>
      <c r="O60" s="27"/>
      <c r="P60" s="27"/>
      <c r="Q60" s="33">
        <v>1</v>
      </c>
      <c r="R60" s="34">
        <f t="shared" si="25"/>
        <v>399.35897999999997</v>
      </c>
      <c r="S60" s="27"/>
      <c r="T60" s="27"/>
      <c r="V60" s="28">
        <f t="shared" si="24"/>
        <v>1</v>
      </c>
      <c r="W60" s="8">
        <f t="shared" si="24"/>
        <v>399.35897999999997</v>
      </c>
    </row>
    <row r="61" spans="1:23" ht="60" x14ac:dyDescent="0.25">
      <c r="A61" s="6" t="s">
        <v>7</v>
      </c>
      <c r="B61" s="6" t="s">
        <v>92</v>
      </c>
      <c r="C61" s="17" t="s">
        <v>134</v>
      </c>
      <c r="D61" s="12" t="s">
        <v>93</v>
      </c>
      <c r="E61" s="13">
        <v>0.9</v>
      </c>
      <c r="F61" s="6" t="s">
        <v>42</v>
      </c>
      <c r="G61" s="35">
        <f>1.17+294.14+0.44</f>
        <v>295.75</v>
      </c>
      <c r="H61" s="35">
        <v>95.44</v>
      </c>
      <c r="I61" s="36">
        <f t="shared" si="22"/>
        <v>391.19</v>
      </c>
      <c r="J61" s="37">
        <v>0.2666</v>
      </c>
      <c r="K61" s="38">
        <f t="shared" si="23"/>
        <v>337.13725499999998</v>
      </c>
      <c r="L61" s="38">
        <f t="shared" si="23"/>
        <v>108.79587359999999</v>
      </c>
      <c r="M61" s="38">
        <f t="shared" si="23"/>
        <v>445.93312860000003</v>
      </c>
      <c r="O61" s="27"/>
      <c r="P61" s="27"/>
      <c r="Q61" s="33">
        <v>1</v>
      </c>
      <c r="R61" s="34">
        <f t="shared" si="25"/>
        <v>445.93312860000003</v>
      </c>
      <c r="S61" s="27"/>
      <c r="T61" s="27"/>
      <c r="V61" s="28">
        <f t="shared" si="24"/>
        <v>1</v>
      </c>
      <c r="W61" s="8">
        <f t="shared" si="24"/>
        <v>445.93312860000003</v>
      </c>
    </row>
    <row r="62" spans="1:23" ht="45" x14ac:dyDescent="0.25">
      <c r="A62" s="6" t="s">
        <v>7</v>
      </c>
      <c r="B62" s="6" t="s">
        <v>94</v>
      </c>
      <c r="C62" s="17" t="s">
        <v>135</v>
      </c>
      <c r="D62" s="12" t="s">
        <v>95</v>
      </c>
      <c r="E62" s="13">
        <v>1</v>
      </c>
      <c r="F62" s="6" t="s">
        <v>42</v>
      </c>
      <c r="G62" s="35">
        <f>0.54+191.11+0.52</f>
        <v>192.17000000000002</v>
      </c>
      <c r="H62" s="35">
        <v>44.74</v>
      </c>
      <c r="I62" s="36">
        <f t="shared" si="22"/>
        <v>236.91000000000003</v>
      </c>
      <c r="J62" s="37">
        <v>0.2666</v>
      </c>
      <c r="K62" s="38">
        <f t="shared" si="23"/>
        <v>243.402522</v>
      </c>
      <c r="L62" s="38">
        <f t="shared" si="23"/>
        <v>56.667684000000001</v>
      </c>
      <c r="M62" s="38">
        <f t="shared" si="23"/>
        <v>300.07020600000004</v>
      </c>
      <c r="O62" s="27"/>
      <c r="P62" s="27"/>
      <c r="Q62" s="33">
        <v>1</v>
      </c>
      <c r="R62" s="34">
        <f t="shared" si="25"/>
        <v>300.07020600000004</v>
      </c>
      <c r="S62" s="27"/>
      <c r="T62" s="27"/>
      <c r="V62" s="28">
        <f t="shared" si="24"/>
        <v>1</v>
      </c>
      <c r="W62" s="8">
        <f t="shared" si="24"/>
        <v>300.07020600000004</v>
      </c>
    </row>
    <row r="63" spans="1:23" ht="60" x14ac:dyDescent="0.25">
      <c r="A63" s="6" t="s">
        <v>7</v>
      </c>
      <c r="B63" s="6" t="s">
        <v>96</v>
      </c>
      <c r="C63" s="17" t="s">
        <v>136</v>
      </c>
      <c r="D63" s="12" t="s">
        <v>97</v>
      </c>
      <c r="E63" s="13">
        <v>140</v>
      </c>
      <c r="F63" s="6" t="s">
        <v>89</v>
      </c>
      <c r="G63" s="35">
        <f>0.02+15.13</f>
        <v>15.15</v>
      </c>
      <c r="H63" s="35">
        <v>11.34</v>
      </c>
      <c r="I63" s="36">
        <f t="shared" si="22"/>
        <v>26.490000000000002</v>
      </c>
      <c r="J63" s="37">
        <v>0.2666</v>
      </c>
      <c r="K63" s="38">
        <f t="shared" si="23"/>
        <v>2686.4585999999999</v>
      </c>
      <c r="L63" s="38">
        <f t="shared" si="23"/>
        <v>2010.8541599999999</v>
      </c>
      <c r="M63" s="38">
        <f t="shared" si="23"/>
        <v>4697.3127600000007</v>
      </c>
      <c r="O63" s="27"/>
      <c r="P63" s="27"/>
      <c r="Q63" s="33">
        <v>1</v>
      </c>
      <c r="R63" s="34">
        <f t="shared" si="25"/>
        <v>4697.3127600000007</v>
      </c>
      <c r="S63" s="27"/>
      <c r="T63" s="27"/>
      <c r="V63" s="28">
        <f t="shared" si="24"/>
        <v>1</v>
      </c>
      <c r="W63" s="8">
        <f t="shared" si="24"/>
        <v>4697.3127600000007</v>
      </c>
    </row>
    <row r="64" spans="1:23" ht="30" x14ac:dyDescent="0.25">
      <c r="A64" s="6" t="s">
        <v>7</v>
      </c>
      <c r="B64" s="6" t="s">
        <v>98</v>
      </c>
      <c r="C64" s="17" t="s">
        <v>137</v>
      </c>
      <c r="D64" s="12" t="s">
        <v>99</v>
      </c>
      <c r="E64" s="13">
        <v>140</v>
      </c>
      <c r="F64" s="6" t="s">
        <v>41</v>
      </c>
      <c r="G64" s="35">
        <v>1.26</v>
      </c>
      <c r="H64" s="35">
        <v>0.61</v>
      </c>
      <c r="I64" s="36">
        <f t="shared" si="22"/>
        <v>1.87</v>
      </c>
      <c r="J64" s="37">
        <v>0.2666</v>
      </c>
      <c r="K64" s="38">
        <f t="shared" si="23"/>
        <v>223.42823999999999</v>
      </c>
      <c r="L64" s="38">
        <f t="shared" si="23"/>
        <v>108.16763999999999</v>
      </c>
      <c r="M64" s="38">
        <f t="shared" si="23"/>
        <v>331.59588000000002</v>
      </c>
      <c r="O64" s="27"/>
      <c r="P64" s="27"/>
      <c r="Q64" s="27"/>
      <c r="R64" s="27"/>
      <c r="S64" s="33">
        <v>1</v>
      </c>
      <c r="T64" s="34">
        <f t="shared" ref="T64:T69" si="26">S64*$M64</f>
        <v>331.59588000000002</v>
      </c>
      <c r="V64" s="28">
        <f t="shared" si="24"/>
        <v>1</v>
      </c>
      <c r="W64" s="8">
        <f t="shared" si="24"/>
        <v>331.59588000000002</v>
      </c>
    </row>
    <row r="65" spans="1:23" ht="30" x14ac:dyDescent="0.25">
      <c r="A65" s="6" t="s">
        <v>7</v>
      </c>
      <c r="B65" s="6" t="s">
        <v>98</v>
      </c>
      <c r="C65" s="17" t="s">
        <v>138</v>
      </c>
      <c r="D65" s="12" t="s">
        <v>100</v>
      </c>
      <c r="E65" s="13">
        <v>140</v>
      </c>
      <c r="F65" s="6" t="s">
        <v>41</v>
      </c>
      <c r="G65" s="35">
        <f>0.02+11.25</f>
        <v>11.27</v>
      </c>
      <c r="H65" s="35">
        <v>8.31</v>
      </c>
      <c r="I65" s="36">
        <f t="shared" si="22"/>
        <v>19.579999999999998</v>
      </c>
      <c r="J65" s="37">
        <v>0.2666</v>
      </c>
      <c r="K65" s="38">
        <f t="shared" ref="K65:M69" si="27">$E65*G65*(1+$J65)</f>
        <v>1998.44148</v>
      </c>
      <c r="L65" s="38">
        <f t="shared" si="27"/>
        <v>1473.5624400000002</v>
      </c>
      <c r="M65" s="38">
        <f t="shared" si="27"/>
        <v>3472.0039199999997</v>
      </c>
      <c r="O65" s="27"/>
      <c r="P65" s="27"/>
      <c r="Q65" s="27"/>
      <c r="R65" s="27"/>
      <c r="S65" s="33">
        <v>1</v>
      </c>
      <c r="T65" s="34">
        <f t="shared" si="26"/>
        <v>3472.0039199999997</v>
      </c>
      <c r="V65" s="28">
        <f t="shared" si="24"/>
        <v>1</v>
      </c>
      <c r="W65" s="8">
        <f t="shared" si="24"/>
        <v>3472.0039199999997</v>
      </c>
    </row>
    <row r="66" spans="1:23" ht="30" x14ac:dyDescent="0.25">
      <c r="A66" s="6" t="s">
        <v>7</v>
      </c>
      <c r="B66" s="6" t="s">
        <v>101</v>
      </c>
      <c r="C66" s="17" t="s">
        <v>139</v>
      </c>
      <c r="D66" s="12" t="s">
        <v>102</v>
      </c>
      <c r="E66" s="13">
        <v>140</v>
      </c>
      <c r="F66" s="6" t="s">
        <v>42</v>
      </c>
      <c r="G66" s="35">
        <v>7.02</v>
      </c>
      <c r="H66" s="35">
        <v>2.93</v>
      </c>
      <c r="I66" s="36">
        <f t="shared" si="22"/>
        <v>9.9499999999999993</v>
      </c>
      <c r="J66" s="37">
        <v>0.2666</v>
      </c>
      <c r="K66" s="38">
        <f t="shared" si="27"/>
        <v>1244.81448</v>
      </c>
      <c r="L66" s="38">
        <f t="shared" si="27"/>
        <v>519.55932000000007</v>
      </c>
      <c r="M66" s="38">
        <f t="shared" si="27"/>
        <v>1764.3737999999998</v>
      </c>
      <c r="O66" s="27"/>
      <c r="P66" s="27"/>
      <c r="Q66" s="27"/>
      <c r="R66" s="27"/>
      <c r="S66" s="33">
        <v>1</v>
      </c>
      <c r="T66" s="34">
        <f t="shared" si="26"/>
        <v>1764.3737999999998</v>
      </c>
      <c r="V66" s="28">
        <f t="shared" si="24"/>
        <v>1</v>
      </c>
      <c r="W66" s="8">
        <f t="shared" si="24"/>
        <v>1764.3737999999998</v>
      </c>
    </row>
    <row r="67" spans="1:23" x14ac:dyDescent="0.25">
      <c r="A67" s="6" t="s">
        <v>7</v>
      </c>
      <c r="B67" s="6" t="s">
        <v>103</v>
      </c>
      <c r="C67" s="17" t="s">
        <v>140</v>
      </c>
      <c r="D67" s="12" t="s">
        <v>104</v>
      </c>
      <c r="E67" s="13">
        <v>11</v>
      </c>
      <c r="F67" s="6" t="s">
        <v>41</v>
      </c>
      <c r="G67" s="35">
        <f>0.14+373.6</f>
        <v>373.74</v>
      </c>
      <c r="H67" s="35">
        <v>31.97</v>
      </c>
      <c r="I67" s="36">
        <f t="shared" si="22"/>
        <v>405.71000000000004</v>
      </c>
      <c r="J67" s="37">
        <v>0.2666</v>
      </c>
      <c r="K67" s="38">
        <f t="shared" si="27"/>
        <v>5207.1699239999998</v>
      </c>
      <c r="L67" s="38">
        <f t="shared" si="27"/>
        <v>445.42522199999991</v>
      </c>
      <c r="M67" s="38">
        <f t="shared" si="27"/>
        <v>5652.5951460000006</v>
      </c>
      <c r="O67" s="27"/>
      <c r="P67" s="27"/>
      <c r="Q67" s="27"/>
      <c r="R67" s="27"/>
      <c r="S67" s="33">
        <v>1</v>
      </c>
      <c r="T67" s="34">
        <f t="shared" si="26"/>
        <v>5652.5951460000006</v>
      </c>
      <c r="V67" s="28">
        <f t="shared" si="24"/>
        <v>1</v>
      </c>
      <c r="W67" s="8">
        <f t="shared" si="24"/>
        <v>5652.5951460000006</v>
      </c>
    </row>
    <row r="68" spans="1:23" ht="45" x14ac:dyDescent="0.25">
      <c r="A68" s="6" t="s">
        <v>7</v>
      </c>
      <c r="B68" s="6" t="s">
        <v>114</v>
      </c>
      <c r="C68" s="17" t="s">
        <v>115</v>
      </c>
      <c r="D68" s="12" t="s">
        <v>45</v>
      </c>
      <c r="E68" s="13">
        <v>3</v>
      </c>
      <c r="F68" s="6" t="s">
        <v>46</v>
      </c>
      <c r="G68" s="35">
        <v>117.13</v>
      </c>
      <c r="H68" s="35">
        <v>0</v>
      </c>
      <c r="I68" s="36">
        <f t="shared" si="22"/>
        <v>117.13</v>
      </c>
      <c r="J68" s="37">
        <v>0.2666</v>
      </c>
      <c r="K68" s="38">
        <f t="shared" si="27"/>
        <v>445.07057399999997</v>
      </c>
      <c r="L68" s="38">
        <f t="shared" si="27"/>
        <v>0</v>
      </c>
      <c r="M68" s="38">
        <f t="shared" si="27"/>
        <v>445.07057399999997</v>
      </c>
      <c r="O68" s="27"/>
      <c r="P68" s="27"/>
      <c r="Q68" s="27"/>
      <c r="R68" s="27"/>
      <c r="S68" s="33">
        <v>1</v>
      </c>
      <c r="T68" s="34">
        <f t="shared" si="26"/>
        <v>445.07057399999997</v>
      </c>
      <c r="V68" s="28">
        <f t="shared" si="24"/>
        <v>1</v>
      </c>
      <c r="W68" s="8">
        <f t="shared" si="24"/>
        <v>445.07057399999997</v>
      </c>
    </row>
    <row r="69" spans="1:23" ht="30" x14ac:dyDescent="0.25">
      <c r="A69" s="41" t="s">
        <v>7</v>
      </c>
      <c r="B69" s="41" t="s">
        <v>116</v>
      </c>
      <c r="C69" s="42" t="s">
        <v>117</v>
      </c>
      <c r="D69" s="12" t="s">
        <v>118</v>
      </c>
      <c r="E69" s="13">
        <v>3</v>
      </c>
      <c r="F69" s="6" t="s">
        <v>46</v>
      </c>
      <c r="G69" s="35">
        <v>3.76</v>
      </c>
      <c r="H69" s="35">
        <v>17.82</v>
      </c>
      <c r="I69" s="36">
        <f t="shared" si="22"/>
        <v>21.58</v>
      </c>
      <c r="J69" s="37">
        <v>0.2666</v>
      </c>
      <c r="K69" s="38">
        <f t="shared" si="27"/>
        <v>14.287247999999998</v>
      </c>
      <c r="L69" s="38">
        <f t="shared" si="27"/>
        <v>67.712435999999997</v>
      </c>
      <c r="M69" s="38">
        <f t="shared" si="27"/>
        <v>81.999683999999988</v>
      </c>
      <c r="O69" s="27"/>
      <c r="P69" s="27"/>
      <c r="Q69" s="27"/>
      <c r="R69" s="27"/>
      <c r="S69" s="33">
        <v>1</v>
      </c>
      <c r="T69" s="34">
        <f t="shared" si="26"/>
        <v>81.999683999999988</v>
      </c>
      <c r="V69" s="28">
        <f t="shared" si="24"/>
        <v>1</v>
      </c>
      <c r="W69" s="8">
        <f t="shared" si="24"/>
        <v>81.999683999999988</v>
      </c>
    </row>
    <row r="70" spans="1:23" x14ac:dyDescent="0.25">
      <c r="I70" s="31" t="s">
        <v>35</v>
      </c>
      <c r="J70" s="31"/>
      <c r="K70" s="32">
        <f t="shared" ref="K70:L70" si="28">SUM(K49:K69)</f>
        <v>18763.5738915</v>
      </c>
      <c r="L70" s="32">
        <f t="shared" si="28"/>
        <v>9180.9133686000005</v>
      </c>
      <c r="M70" s="32">
        <f>SUM(M49:M69)</f>
        <v>27944.487260099999</v>
      </c>
      <c r="P70" s="32">
        <f>SUM(P49:P69)</f>
        <v>7577.9918039999993</v>
      </c>
      <c r="R70" s="32">
        <f>SUM(R49:R69)</f>
        <v>8618.8564521000008</v>
      </c>
      <c r="T70" s="32">
        <f>SUM(T49:T69)</f>
        <v>11747.639004000001</v>
      </c>
    </row>
    <row r="71" spans="1:23" ht="15.75" thickBot="1" x14ac:dyDescent="0.3"/>
    <row r="72" spans="1:23" ht="15.75" thickBot="1" x14ac:dyDescent="0.3">
      <c r="A72" s="64" t="s">
        <v>62</v>
      </c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6"/>
    </row>
    <row r="73" spans="1:23" x14ac:dyDescent="0.25">
      <c r="A73" s="59" t="s">
        <v>48</v>
      </c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60"/>
      <c r="O73" s="59"/>
      <c r="P73" s="59"/>
      <c r="Q73" s="59"/>
      <c r="R73" s="59"/>
      <c r="S73" s="59"/>
      <c r="T73" s="59"/>
    </row>
    <row r="74" spans="1:23" x14ac:dyDescent="0.25">
      <c r="A74" s="2" t="s">
        <v>1</v>
      </c>
      <c r="B74" s="3" t="s">
        <v>2</v>
      </c>
      <c r="C74" s="3" t="s">
        <v>3</v>
      </c>
      <c r="D74" s="3" t="s">
        <v>4</v>
      </c>
      <c r="E74" s="4" t="s">
        <v>5</v>
      </c>
      <c r="F74" s="3" t="s">
        <v>6</v>
      </c>
      <c r="G74" s="3" t="s">
        <v>28</v>
      </c>
      <c r="H74" s="3" t="s">
        <v>29</v>
      </c>
      <c r="I74" s="5" t="s">
        <v>30</v>
      </c>
      <c r="J74" s="5" t="s">
        <v>31</v>
      </c>
      <c r="K74" s="3" t="s">
        <v>32</v>
      </c>
      <c r="L74" s="3" t="s">
        <v>33</v>
      </c>
      <c r="M74" s="5" t="s">
        <v>34</v>
      </c>
    </row>
    <row r="75" spans="1:23" x14ac:dyDescent="0.25">
      <c r="A75" s="14" t="s">
        <v>14</v>
      </c>
      <c r="B75" s="14" t="s">
        <v>8</v>
      </c>
      <c r="C75" s="14" t="s">
        <v>15</v>
      </c>
      <c r="D75" s="15" t="s">
        <v>16</v>
      </c>
      <c r="E75" s="13">
        <v>1</v>
      </c>
      <c r="F75" s="7" t="s">
        <v>105</v>
      </c>
      <c r="G75" s="35">
        <v>218.54</v>
      </c>
      <c r="H75" s="35">
        <v>0</v>
      </c>
      <c r="I75" s="36">
        <f t="shared" ref="I75:I77" si="29">G75+H75</f>
        <v>218.54</v>
      </c>
      <c r="J75" s="37">
        <v>0.2666</v>
      </c>
      <c r="K75" s="38">
        <f t="shared" ref="K75:M77" si="30">$E75*G75*(1+$J75)</f>
        <v>276.80276399999997</v>
      </c>
      <c r="L75" s="38">
        <f t="shared" si="30"/>
        <v>0</v>
      </c>
      <c r="M75" s="38">
        <f t="shared" si="30"/>
        <v>276.80276399999997</v>
      </c>
      <c r="O75" s="33">
        <v>1</v>
      </c>
      <c r="P75" s="34">
        <f t="shared" ref="P75:P77" si="31">O75*$M75</f>
        <v>276.80276399999997</v>
      </c>
      <c r="Q75" s="27"/>
      <c r="R75" s="27"/>
      <c r="S75" s="27"/>
      <c r="T75" s="27"/>
      <c r="V75" s="28">
        <f t="shared" ref="V75:W77" si="32">O75+Q75+S75</f>
        <v>1</v>
      </c>
      <c r="W75" s="8">
        <f t="shared" si="32"/>
        <v>276.80276399999997</v>
      </c>
    </row>
    <row r="76" spans="1:23" ht="30" x14ac:dyDescent="0.25">
      <c r="A76" s="6" t="s">
        <v>7</v>
      </c>
      <c r="B76" s="16" t="s">
        <v>9</v>
      </c>
      <c r="C76" s="14" t="s">
        <v>106</v>
      </c>
      <c r="D76" s="15" t="s">
        <v>17</v>
      </c>
      <c r="E76" s="13">
        <v>20</v>
      </c>
      <c r="F76" s="7" t="s">
        <v>46</v>
      </c>
      <c r="G76" s="35">
        <v>0.4</v>
      </c>
      <c r="H76" s="35">
        <v>70.260000000000005</v>
      </c>
      <c r="I76" s="36">
        <f t="shared" si="29"/>
        <v>70.660000000000011</v>
      </c>
      <c r="J76" s="37">
        <v>0.2666</v>
      </c>
      <c r="K76" s="38">
        <f t="shared" si="30"/>
        <v>10.1328</v>
      </c>
      <c r="L76" s="38">
        <f t="shared" si="30"/>
        <v>1779.8263199999999</v>
      </c>
      <c r="M76" s="38">
        <f t="shared" si="30"/>
        <v>1789.9591200000002</v>
      </c>
      <c r="O76" s="33">
        <v>1</v>
      </c>
      <c r="P76" s="34">
        <f t="shared" si="31"/>
        <v>1789.9591200000002</v>
      </c>
      <c r="Q76" s="27"/>
      <c r="R76" s="27"/>
      <c r="S76" s="27"/>
      <c r="T76" s="27"/>
      <c r="V76" s="28">
        <f t="shared" si="32"/>
        <v>1</v>
      </c>
      <c r="W76" s="8">
        <f t="shared" si="32"/>
        <v>1789.9591200000002</v>
      </c>
    </row>
    <row r="77" spans="1:23" ht="30" x14ac:dyDescent="0.25">
      <c r="A77" s="6" t="s">
        <v>7</v>
      </c>
      <c r="B77" s="16" t="s">
        <v>10</v>
      </c>
      <c r="C77" s="14" t="s">
        <v>107</v>
      </c>
      <c r="D77" s="15" t="s">
        <v>18</v>
      </c>
      <c r="E77" s="13">
        <v>40</v>
      </c>
      <c r="F77" s="7" t="s">
        <v>46</v>
      </c>
      <c r="G77" s="35">
        <v>2.99</v>
      </c>
      <c r="H77" s="35">
        <v>19.010000000000002</v>
      </c>
      <c r="I77" s="36">
        <f t="shared" si="29"/>
        <v>22</v>
      </c>
      <c r="J77" s="37">
        <v>0.2666</v>
      </c>
      <c r="K77" s="38">
        <f t="shared" si="30"/>
        <v>151.48536000000001</v>
      </c>
      <c r="L77" s="38">
        <f t="shared" si="30"/>
        <v>963.12264000000005</v>
      </c>
      <c r="M77" s="38">
        <f t="shared" si="30"/>
        <v>1114.6079999999999</v>
      </c>
      <c r="O77" s="33">
        <v>1</v>
      </c>
      <c r="P77" s="34">
        <f t="shared" si="31"/>
        <v>1114.6079999999999</v>
      </c>
      <c r="Q77" s="27"/>
      <c r="R77" s="27"/>
      <c r="S77" s="27"/>
      <c r="T77" s="27"/>
      <c r="V77" s="28">
        <f t="shared" si="32"/>
        <v>1</v>
      </c>
      <c r="W77" s="8">
        <f t="shared" si="32"/>
        <v>1114.6079999999999</v>
      </c>
    </row>
    <row r="78" spans="1:23" x14ac:dyDescent="0.25">
      <c r="A78" s="18"/>
      <c r="B78" s="19"/>
      <c r="C78" s="20"/>
      <c r="D78" s="21"/>
      <c r="E78" s="22"/>
      <c r="F78" s="23"/>
      <c r="G78" s="23"/>
      <c r="H78" s="23"/>
      <c r="I78" s="31" t="s">
        <v>35</v>
      </c>
      <c r="J78" s="31"/>
      <c r="K78" s="32">
        <f t="shared" ref="K78:L78" si="33">SUM(K75:K77)</f>
        <v>438.42092399999996</v>
      </c>
      <c r="L78" s="32">
        <f t="shared" si="33"/>
        <v>2742.9489599999997</v>
      </c>
      <c r="M78" s="32">
        <f>SUM(M75:M77)</f>
        <v>3181.3698839999997</v>
      </c>
      <c r="P78" s="32">
        <f>SUM(P75:P77)</f>
        <v>3181.3698839999997</v>
      </c>
      <c r="R78" s="32">
        <f>SUM(R75:R77)</f>
        <v>0</v>
      </c>
      <c r="T78" s="32">
        <f>SUM(T75:T77)</f>
        <v>0</v>
      </c>
    </row>
    <row r="79" spans="1:23" ht="15.75" thickBot="1" x14ac:dyDescent="0.3"/>
    <row r="80" spans="1:23" ht="15.75" thickBot="1" x14ac:dyDescent="0.3">
      <c r="A80" s="64" t="s">
        <v>63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6"/>
    </row>
    <row r="81" spans="1:23" ht="15.75" thickBot="1" x14ac:dyDescent="0.3">
      <c r="A81" s="59" t="s">
        <v>49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60"/>
      <c r="O81" s="59"/>
      <c r="P81" s="59"/>
      <c r="Q81" s="59"/>
      <c r="R81" s="59"/>
      <c r="S81" s="59"/>
      <c r="T81" s="59"/>
    </row>
    <row r="82" spans="1:23" x14ac:dyDescent="0.25">
      <c r="A82" s="9" t="s">
        <v>1</v>
      </c>
      <c r="B82" s="10" t="s">
        <v>2</v>
      </c>
      <c r="C82" s="10" t="s">
        <v>3</v>
      </c>
      <c r="D82" s="11" t="s">
        <v>4</v>
      </c>
      <c r="E82" s="4" t="s">
        <v>5</v>
      </c>
      <c r="F82" s="3" t="s">
        <v>6</v>
      </c>
      <c r="G82" s="3" t="s">
        <v>28</v>
      </c>
      <c r="H82" s="3" t="s">
        <v>29</v>
      </c>
      <c r="I82" s="5" t="s">
        <v>30</v>
      </c>
      <c r="J82" s="5" t="s">
        <v>31</v>
      </c>
      <c r="K82" s="3" t="s">
        <v>32</v>
      </c>
      <c r="L82" s="3" t="s">
        <v>33</v>
      </c>
      <c r="M82" s="5" t="s">
        <v>34</v>
      </c>
    </row>
    <row r="83" spans="1:23" x14ac:dyDescent="0.25">
      <c r="A83" s="6" t="s">
        <v>7</v>
      </c>
      <c r="B83" s="6" t="s">
        <v>8</v>
      </c>
      <c r="C83" s="17" t="s">
        <v>141</v>
      </c>
      <c r="D83" s="12" t="s">
        <v>50</v>
      </c>
      <c r="E83" s="13">
        <v>20</v>
      </c>
      <c r="F83" s="6" t="s">
        <v>105</v>
      </c>
      <c r="G83" s="35">
        <v>19.11</v>
      </c>
      <c r="H83" s="35">
        <v>4.5199999999999996</v>
      </c>
      <c r="I83" s="36">
        <f t="shared" ref="I83:I89" si="34">G83+H83</f>
        <v>23.63</v>
      </c>
      <c r="J83" s="37">
        <v>0.2666</v>
      </c>
      <c r="K83" s="38">
        <f t="shared" ref="K83:M89" si="35">$E83*G83*(1+$J83)</f>
        <v>484.09451999999999</v>
      </c>
      <c r="L83" s="38">
        <f t="shared" si="35"/>
        <v>114.50063999999999</v>
      </c>
      <c r="M83" s="38">
        <f t="shared" si="35"/>
        <v>598.59515999999996</v>
      </c>
      <c r="O83" s="33">
        <v>1</v>
      </c>
      <c r="P83" s="34">
        <f t="shared" ref="P83:P89" si="36">O83*$M83</f>
        <v>598.59515999999996</v>
      </c>
      <c r="Q83" s="27"/>
      <c r="R83" s="27"/>
      <c r="S83" s="27"/>
      <c r="T83" s="27"/>
      <c r="V83" s="28">
        <f t="shared" ref="V83:W89" si="37">O83+Q83+S83</f>
        <v>1</v>
      </c>
      <c r="W83" s="8">
        <f t="shared" si="37"/>
        <v>598.59515999999996</v>
      </c>
    </row>
    <row r="84" spans="1:23" x14ac:dyDescent="0.25">
      <c r="A84" s="6" t="s">
        <v>7</v>
      </c>
      <c r="B84" s="6" t="s">
        <v>9</v>
      </c>
      <c r="C84" s="17" t="s">
        <v>142</v>
      </c>
      <c r="D84" s="12" t="s">
        <v>51</v>
      </c>
      <c r="E84" s="13">
        <v>100</v>
      </c>
      <c r="F84" s="6" t="s">
        <v>105</v>
      </c>
      <c r="G84" s="35">
        <v>26.78</v>
      </c>
      <c r="H84" s="35">
        <v>6.65</v>
      </c>
      <c r="I84" s="36">
        <f t="shared" si="34"/>
        <v>33.43</v>
      </c>
      <c r="J84" s="37">
        <v>0.2666</v>
      </c>
      <c r="K84" s="38">
        <f t="shared" si="35"/>
        <v>3391.9548</v>
      </c>
      <c r="L84" s="38">
        <f t="shared" si="35"/>
        <v>842.28899999999999</v>
      </c>
      <c r="M84" s="38">
        <f t="shared" si="35"/>
        <v>4234.2438000000002</v>
      </c>
      <c r="O84" s="33">
        <v>1</v>
      </c>
      <c r="P84" s="34">
        <f t="shared" si="36"/>
        <v>4234.2438000000002</v>
      </c>
      <c r="Q84" s="27"/>
      <c r="R84" s="27"/>
      <c r="S84" s="27"/>
      <c r="T84" s="27"/>
      <c r="V84" s="28">
        <f t="shared" si="37"/>
        <v>1</v>
      </c>
      <c r="W84" s="8">
        <f t="shared" si="37"/>
        <v>4234.2438000000002</v>
      </c>
    </row>
    <row r="85" spans="1:23" ht="30" x14ac:dyDescent="0.25">
      <c r="A85" s="6" t="s">
        <v>7</v>
      </c>
      <c r="B85" s="6" t="s">
        <v>10</v>
      </c>
      <c r="C85" s="17" t="s">
        <v>143</v>
      </c>
      <c r="D85" s="12" t="s">
        <v>52</v>
      </c>
      <c r="E85" s="13">
        <v>8</v>
      </c>
      <c r="F85" s="6" t="s">
        <v>105</v>
      </c>
      <c r="G85" s="35">
        <v>6.54</v>
      </c>
      <c r="H85" s="35">
        <v>6.5</v>
      </c>
      <c r="I85" s="36">
        <f t="shared" si="34"/>
        <v>13.04</v>
      </c>
      <c r="J85" s="37">
        <v>0.2666</v>
      </c>
      <c r="K85" s="38">
        <f t="shared" si="35"/>
        <v>66.268512000000001</v>
      </c>
      <c r="L85" s="38">
        <f t="shared" si="35"/>
        <v>65.863199999999992</v>
      </c>
      <c r="M85" s="38">
        <f t="shared" si="35"/>
        <v>132.13171199999999</v>
      </c>
      <c r="O85" s="33">
        <v>1</v>
      </c>
      <c r="P85" s="34">
        <f t="shared" si="36"/>
        <v>132.13171199999999</v>
      </c>
      <c r="Q85" s="27"/>
      <c r="R85" s="27"/>
      <c r="S85" s="27"/>
      <c r="T85" s="27"/>
      <c r="V85" s="28">
        <f t="shared" si="37"/>
        <v>1</v>
      </c>
      <c r="W85" s="8">
        <f t="shared" si="37"/>
        <v>132.13171199999999</v>
      </c>
    </row>
    <row r="86" spans="1:23" ht="30" x14ac:dyDescent="0.25">
      <c r="A86" s="6" t="s">
        <v>7</v>
      </c>
      <c r="B86" s="6" t="s">
        <v>11</v>
      </c>
      <c r="C86" s="17" t="s">
        <v>144</v>
      </c>
      <c r="D86" s="12" t="s">
        <v>145</v>
      </c>
      <c r="E86" s="13">
        <v>20</v>
      </c>
      <c r="F86" s="6" t="s">
        <v>40</v>
      </c>
      <c r="G86" s="35">
        <v>7.65</v>
      </c>
      <c r="H86" s="35">
        <v>4.34</v>
      </c>
      <c r="I86" s="36">
        <f t="shared" si="34"/>
        <v>11.99</v>
      </c>
      <c r="J86" s="37">
        <v>0.2666</v>
      </c>
      <c r="K86" s="38">
        <f t="shared" si="35"/>
        <v>193.78979999999999</v>
      </c>
      <c r="L86" s="38">
        <f t="shared" si="35"/>
        <v>109.94087999999999</v>
      </c>
      <c r="M86" s="38">
        <f t="shared" si="35"/>
        <v>303.73068000000001</v>
      </c>
      <c r="O86" s="33">
        <v>1</v>
      </c>
      <c r="P86" s="34">
        <f t="shared" si="36"/>
        <v>303.73068000000001</v>
      </c>
      <c r="Q86" s="27"/>
      <c r="R86" s="27"/>
      <c r="S86" s="27"/>
      <c r="T86" s="27"/>
      <c r="V86" s="28">
        <f t="shared" si="37"/>
        <v>1</v>
      </c>
      <c r="W86" s="8">
        <f t="shared" si="37"/>
        <v>303.73068000000001</v>
      </c>
    </row>
    <row r="87" spans="1:23" ht="30" x14ac:dyDescent="0.25">
      <c r="A87" s="6" t="s">
        <v>7</v>
      </c>
      <c r="B87" s="6" t="s">
        <v>12</v>
      </c>
      <c r="C87" s="17" t="s">
        <v>146</v>
      </c>
      <c r="D87" s="12" t="s">
        <v>53</v>
      </c>
      <c r="E87" s="13">
        <v>0.1</v>
      </c>
      <c r="F87" s="6" t="s">
        <v>123</v>
      </c>
      <c r="G87" s="35">
        <v>24.67</v>
      </c>
      <c r="H87" s="35">
        <v>0</v>
      </c>
      <c r="I87" s="36">
        <f t="shared" si="34"/>
        <v>24.67</v>
      </c>
      <c r="J87" s="37">
        <v>0.2666</v>
      </c>
      <c r="K87" s="38">
        <f t="shared" si="35"/>
        <v>3.1247022000000007</v>
      </c>
      <c r="L87" s="38">
        <f t="shared" si="35"/>
        <v>0</v>
      </c>
      <c r="M87" s="38">
        <f t="shared" si="35"/>
        <v>3.1247022000000007</v>
      </c>
      <c r="O87" s="33">
        <v>1</v>
      </c>
      <c r="P87" s="34">
        <f t="shared" si="36"/>
        <v>3.1247022000000007</v>
      </c>
      <c r="Q87" s="27"/>
      <c r="R87" s="27"/>
      <c r="S87" s="27"/>
      <c r="T87" s="27"/>
      <c r="V87" s="28">
        <f t="shared" si="37"/>
        <v>1</v>
      </c>
      <c r="W87" s="8">
        <f t="shared" si="37"/>
        <v>3.1247022000000007</v>
      </c>
    </row>
    <row r="88" spans="1:23" ht="30" x14ac:dyDescent="0.25">
      <c r="A88" s="6" t="s">
        <v>7</v>
      </c>
      <c r="B88" s="6" t="s">
        <v>43</v>
      </c>
      <c r="C88" s="17" t="s">
        <v>147</v>
      </c>
      <c r="D88" s="12" t="s">
        <v>54</v>
      </c>
      <c r="E88" s="13">
        <v>15</v>
      </c>
      <c r="F88" s="6" t="s">
        <v>42</v>
      </c>
      <c r="G88" s="35">
        <f>0.18+16.24</f>
        <v>16.419999999999998</v>
      </c>
      <c r="H88" s="35">
        <v>36.15</v>
      </c>
      <c r="I88" s="36">
        <f t="shared" si="34"/>
        <v>52.569999999999993</v>
      </c>
      <c r="J88" s="37">
        <v>0.2666</v>
      </c>
      <c r="K88" s="38">
        <f t="shared" si="35"/>
        <v>311.96357999999998</v>
      </c>
      <c r="L88" s="38">
        <f t="shared" si="35"/>
        <v>686.81385</v>
      </c>
      <c r="M88" s="38">
        <f t="shared" si="35"/>
        <v>998.77742999999987</v>
      </c>
      <c r="O88" s="33">
        <v>1</v>
      </c>
      <c r="P88" s="34">
        <f t="shared" si="36"/>
        <v>998.77742999999987</v>
      </c>
      <c r="Q88" s="27"/>
      <c r="R88" s="27"/>
      <c r="S88" s="27"/>
      <c r="T88" s="27"/>
      <c r="V88" s="28">
        <f t="shared" si="37"/>
        <v>1</v>
      </c>
      <c r="W88" s="8">
        <f t="shared" si="37"/>
        <v>998.77742999999987</v>
      </c>
    </row>
    <row r="89" spans="1:23" x14ac:dyDescent="0.25">
      <c r="A89" s="6" t="s">
        <v>7</v>
      </c>
      <c r="B89" s="6" t="s">
        <v>44</v>
      </c>
      <c r="C89" s="17" t="s">
        <v>124</v>
      </c>
      <c r="D89" s="12" t="s">
        <v>55</v>
      </c>
      <c r="E89" s="13">
        <v>15</v>
      </c>
      <c r="F89" s="6" t="s">
        <v>42</v>
      </c>
      <c r="G89" s="35">
        <f>0.11+9.82</f>
        <v>9.93</v>
      </c>
      <c r="H89" s="35">
        <v>21.94</v>
      </c>
      <c r="I89" s="36">
        <f t="shared" si="34"/>
        <v>31.87</v>
      </c>
      <c r="J89" s="37">
        <v>0.2666</v>
      </c>
      <c r="K89" s="38">
        <f t="shared" si="35"/>
        <v>188.66006999999999</v>
      </c>
      <c r="L89" s="38">
        <f t="shared" si="35"/>
        <v>416.83805999999998</v>
      </c>
      <c r="M89" s="38">
        <f t="shared" si="35"/>
        <v>605.49812999999995</v>
      </c>
      <c r="O89" s="33">
        <v>1</v>
      </c>
      <c r="P89" s="34">
        <f t="shared" si="36"/>
        <v>605.49812999999995</v>
      </c>
      <c r="Q89" s="27"/>
      <c r="R89" s="27"/>
      <c r="S89" s="27"/>
      <c r="T89" s="27"/>
      <c r="V89" s="28">
        <f t="shared" si="37"/>
        <v>1</v>
      </c>
      <c r="W89" s="8">
        <f t="shared" si="37"/>
        <v>605.49812999999995</v>
      </c>
    </row>
    <row r="90" spans="1:23" x14ac:dyDescent="0.25">
      <c r="I90" s="31" t="s">
        <v>35</v>
      </c>
      <c r="J90" s="31"/>
      <c r="K90" s="32">
        <f t="shared" ref="K90:L90" si="38">SUM(K83:K89)</f>
        <v>4639.8559841999995</v>
      </c>
      <c r="L90" s="32">
        <f t="shared" si="38"/>
        <v>2236.2456299999999</v>
      </c>
      <c r="M90" s="32">
        <f>SUM(M83:M89)</f>
        <v>6876.1016141999999</v>
      </c>
      <c r="P90" s="32">
        <f>SUM(P83:P89)</f>
        <v>6876.1016141999999</v>
      </c>
      <c r="R90" s="32">
        <f>SUM(R83:R89)</f>
        <v>0</v>
      </c>
      <c r="T90" s="32">
        <f>SUM(T83:T89)</f>
        <v>0</v>
      </c>
    </row>
    <row r="92" spans="1:23" x14ac:dyDescent="0.25">
      <c r="D92" s="54" t="s">
        <v>37</v>
      </c>
      <c r="L92" s="29" t="s">
        <v>37</v>
      </c>
      <c r="M92" s="30">
        <f>SUM(M10:M90)/2</f>
        <v>217664.37866041998</v>
      </c>
      <c r="O92" s="56">
        <f>P92/$M$92</f>
        <v>0.13552466774704314</v>
      </c>
      <c r="P92" s="30">
        <f>SUM(P10:P90)/2</f>
        <v>29498.892598320002</v>
      </c>
      <c r="Q92" s="56">
        <f>R92/$M$92</f>
        <v>0.23243233079506032</v>
      </c>
      <c r="R92" s="30">
        <f>SUM(R10:R90)/2</f>
        <v>50592.238863100007</v>
      </c>
      <c r="S92" s="56">
        <f>T92/$M$92</f>
        <v>0.63204300145789671</v>
      </c>
      <c r="T92" s="30">
        <f>SUM(T10:T90)/2</f>
        <v>137573.247199</v>
      </c>
      <c r="W92" s="58">
        <f>SUM(W10:W90)</f>
        <v>217664.37866042007</v>
      </c>
    </row>
    <row r="93" spans="1:23" x14ac:dyDescent="0.25">
      <c r="D93" s="55"/>
    </row>
    <row r="94" spans="1:23" x14ac:dyDescent="0.25">
      <c r="D94" s="49" t="s">
        <v>152</v>
      </c>
      <c r="O94" s="56">
        <f>P94/$M$92</f>
        <v>0.13552466774704314</v>
      </c>
      <c r="P94" s="57">
        <f>P92</f>
        <v>29498.892598320002</v>
      </c>
      <c r="Q94" s="56">
        <f>R94/$M$92</f>
        <v>0.36795699854210345</v>
      </c>
      <c r="R94" s="57">
        <f>R92+P94</f>
        <v>80091.131461420009</v>
      </c>
      <c r="S94" s="56">
        <f>T94/$M$92</f>
        <v>1.0000000000000002</v>
      </c>
      <c r="T94" s="57">
        <f>T92+R94</f>
        <v>217664.37866042001</v>
      </c>
    </row>
  </sheetData>
  <mergeCells count="27">
    <mergeCell ref="A7:M7"/>
    <mergeCell ref="O2:T2"/>
    <mergeCell ref="O4:P4"/>
    <mergeCell ref="Q4:R4"/>
    <mergeCell ref="S4:T4"/>
    <mergeCell ref="A5:M5"/>
    <mergeCell ref="A41:M41"/>
    <mergeCell ref="O41:T41"/>
    <mergeCell ref="A8:M8"/>
    <mergeCell ref="O8:T8"/>
    <mergeCell ref="A15:M15"/>
    <mergeCell ref="A16:M16"/>
    <mergeCell ref="O16:T16"/>
    <mergeCell ref="A25:M25"/>
    <mergeCell ref="A26:M26"/>
    <mergeCell ref="O26:T26"/>
    <mergeCell ref="A33:M33"/>
    <mergeCell ref="A34:M34"/>
    <mergeCell ref="O34:T34"/>
    <mergeCell ref="A81:M81"/>
    <mergeCell ref="O81:T81"/>
    <mergeCell ref="A47:M47"/>
    <mergeCell ref="O47:T47"/>
    <mergeCell ref="A72:M72"/>
    <mergeCell ref="A73:M73"/>
    <mergeCell ref="O73:T73"/>
    <mergeCell ref="A80:M8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94"/>
  <sheetViews>
    <sheetView tabSelected="1" topLeftCell="A31" zoomScale="85" zoomScaleNormal="85" workbookViewId="0">
      <selection activeCell="D98" sqref="D98"/>
    </sheetView>
  </sheetViews>
  <sheetFormatPr defaultRowHeight="15" x14ac:dyDescent="0.25"/>
  <cols>
    <col min="1" max="1" width="14.85546875" style="1" bestFit="1" customWidth="1"/>
    <col min="2" max="2" width="6.85546875" style="1" bestFit="1" customWidth="1"/>
    <col min="3" max="3" width="13.5703125" style="1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hidden="1" customWidth="1"/>
    <col min="9" max="9" width="18" style="1" hidden="1" customWidth="1"/>
    <col min="10" max="10" width="8.85546875" style="1" hidden="1" customWidth="1"/>
    <col min="11" max="11" width="17.7109375" style="1" hidden="1" customWidth="1"/>
    <col min="12" max="12" width="16.7109375" style="1" hidden="1" customWidth="1"/>
    <col min="13" max="13" width="14.5703125" style="1" bestFit="1" customWidth="1"/>
    <col min="14" max="14" width="3.28515625" style="1" customWidth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D2" s="49" t="s">
        <v>148</v>
      </c>
      <c r="E2" s="50" t="s">
        <v>149</v>
      </c>
      <c r="J2" s="24"/>
      <c r="O2" s="67" t="s">
        <v>56</v>
      </c>
      <c r="P2" s="68"/>
      <c r="Q2" s="68"/>
      <c r="R2" s="68"/>
      <c r="S2" s="68"/>
      <c r="T2" s="68"/>
      <c r="V2" s="53" t="s">
        <v>151</v>
      </c>
      <c r="W2" s="53"/>
    </row>
    <row r="3" spans="1:23" x14ac:dyDescent="0.25">
      <c r="D3" s="49" t="s">
        <v>150</v>
      </c>
      <c r="E3" s="51">
        <v>43344</v>
      </c>
    </row>
    <row r="4" spans="1:23" ht="15.75" thickBot="1" x14ac:dyDescent="0.3">
      <c r="O4" s="69" t="s">
        <v>24</v>
      </c>
      <c r="P4" s="70"/>
      <c r="Q4" s="69" t="s">
        <v>25</v>
      </c>
      <c r="R4" s="70"/>
      <c r="S4" s="69" t="s">
        <v>36</v>
      </c>
      <c r="T4" s="70"/>
    </row>
    <row r="5" spans="1:23" ht="15.75" thickBot="1" x14ac:dyDescent="0.3">
      <c r="A5" s="61" t="s">
        <v>57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3"/>
      <c r="O5" s="52" t="s">
        <v>26</v>
      </c>
      <c r="P5" s="52" t="s">
        <v>27</v>
      </c>
      <c r="Q5" s="52" t="s">
        <v>26</v>
      </c>
      <c r="R5" s="52" t="s">
        <v>27</v>
      </c>
      <c r="S5" s="52" t="s">
        <v>26</v>
      </c>
      <c r="T5" s="52" t="s">
        <v>27</v>
      </c>
      <c r="V5" s="25" t="s">
        <v>26</v>
      </c>
      <c r="W5" s="25" t="s">
        <v>27</v>
      </c>
    </row>
    <row r="6" spans="1:23" ht="15.75" thickBot="1" x14ac:dyDescent="0.3"/>
    <row r="7" spans="1:23" ht="15.75" thickBot="1" x14ac:dyDescent="0.3">
      <c r="A7" s="64" t="s">
        <v>58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6"/>
    </row>
    <row r="8" spans="1:23" x14ac:dyDescent="0.25">
      <c r="A8" s="59" t="s">
        <v>13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60"/>
      <c r="O8" s="59"/>
      <c r="P8" s="59"/>
      <c r="Q8" s="59"/>
      <c r="R8" s="59"/>
      <c r="S8" s="59"/>
      <c r="T8" s="59"/>
    </row>
    <row r="9" spans="1:23" hidden="1" x14ac:dyDescent="0.25">
      <c r="A9" s="2" t="s">
        <v>1</v>
      </c>
      <c r="B9" s="3" t="s">
        <v>2</v>
      </c>
      <c r="C9" s="3" t="s">
        <v>3</v>
      </c>
      <c r="D9" s="3" t="s">
        <v>4</v>
      </c>
      <c r="E9" s="4" t="s">
        <v>5</v>
      </c>
      <c r="F9" s="3" t="s">
        <v>6</v>
      </c>
      <c r="G9" s="3" t="s">
        <v>28</v>
      </c>
      <c r="H9" s="3" t="s">
        <v>29</v>
      </c>
      <c r="I9" s="5" t="s">
        <v>30</v>
      </c>
      <c r="J9" s="5" t="s">
        <v>31</v>
      </c>
      <c r="K9" s="3" t="s">
        <v>32</v>
      </c>
      <c r="L9" s="3" t="s">
        <v>33</v>
      </c>
      <c r="M9" s="5" t="s">
        <v>34</v>
      </c>
    </row>
    <row r="10" spans="1:23" hidden="1" x14ac:dyDescent="0.25">
      <c r="A10" s="48" t="s">
        <v>14</v>
      </c>
      <c r="B10" s="48" t="s">
        <v>8</v>
      </c>
      <c r="C10" s="48" t="s">
        <v>15</v>
      </c>
      <c r="D10" s="15" t="s">
        <v>16</v>
      </c>
      <c r="E10" s="13">
        <v>1</v>
      </c>
      <c r="F10" s="7" t="s">
        <v>105</v>
      </c>
      <c r="G10" s="35">
        <v>218.54</v>
      </c>
      <c r="H10" s="35">
        <v>0</v>
      </c>
      <c r="I10" s="36">
        <f>G10+H10</f>
        <v>218.54</v>
      </c>
      <c r="J10" s="37">
        <v>0.2666</v>
      </c>
      <c r="K10" s="38">
        <f>$E10*G10*(1+$J10)</f>
        <v>276.80276399999997</v>
      </c>
      <c r="L10" s="38">
        <f t="shared" ref="L10:M12" si="0">$E10*H10*(1+$J10)</f>
        <v>0</v>
      </c>
      <c r="M10" s="38">
        <f t="shared" si="0"/>
        <v>276.80276399999997</v>
      </c>
      <c r="O10" s="33">
        <v>1</v>
      </c>
      <c r="P10" s="34">
        <f>O10*$M10</f>
        <v>276.80276399999997</v>
      </c>
      <c r="Q10" s="27"/>
      <c r="R10" s="27"/>
      <c r="S10" s="27"/>
      <c r="T10" s="27"/>
      <c r="V10" s="28">
        <f>O10+Q10+S10</f>
        <v>1</v>
      </c>
      <c r="W10" s="8">
        <f>P10+R10+T10</f>
        <v>276.80276399999997</v>
      </c>
    </row>
    <row r="11" spans="1:23" ht="30" hidden="1" x14ac:dyDescent="0.25">
      <c r="A11" s="6" t="s">
        <v>7</v>
      </c>
      <c r="B11" s="16" t="s">
        <v>9</v>
      </c>
      <c r="C11" s="14" t="s">
        <v>106</v>
      </c>
      <c r="D11" s="15" t="s">
        <v>17</v>
      </c>
      <c r="E11" s="13">
        <v>20</v>
      </c>
      <c r="F11" s="7" t="s">
        <v>46</v>
      </c>
      <c r="G11" s="35">
        <v>0.4</v>
      </c>
      <c r="H11" s="35">
        <v>70.260000000000005</v>
      </c>
      <c r="I11" s="36">
        <f t="shared" ref="I11:I12" si="1">G11+H11</f>
        <v>70.660000000000011</v>
      </c>
      <c r="J11" s="37">
        <v>0.2666</v>
      </c>
      <c r="K11" s="38">
        <f t="shared" ref="K11:K12" si="2">$E11*G11*(1+$J11)</f>
        <v>10.1328</v>
      </c>
      <c r="L11" s="38">
        <f t="shared" si="0"/>
        <v>1779.8263199999999</v>
      </c>
      <c r="M11" s="38">
        <f t="shared" si="0"/>
        <v>1789.9591200000002</v>
      </c>
      <c r="O11" s="33">
        <v>0.5</v>
      </c>
      <c r="P11" s="34">
        <f>O11*$M11</f>
        <v>894.97956000000011</v>
      </c>
      <c r="Q11" s="33">
        <v>0.5</v>
      </c>
      <c r="R11" s="34">
        <f>Q11*$M11</f>
        <v>894.97956000000011</v>
      </c>
      <c r="S11" s="27"/>
      <c r="T11" s="27"/>
      <c r="V11" s="28">
        <f t="shared" ref="V11:W12" si="3">O11+Q11+S11</f>
        <v>1</v>
      </c>
      <c r="W11" s="8">
        <f t="shared" si="3"/>
        <v>1789.9591200000002</v>
      </c>
    </row>
    <row r="12" spans="1:23" ht="30" hidden="1" x14ac:dyDescent="0.25">
      <c r="A12" s="6" t="s">
        <v>7</v>
      </c>
      <c r="B12" s="16" t="s">
        <v>10</v>
      </c>
      <c r="C12" s="14" t="s">
        <v>107</v>
      </c>
      <c r="D12" s="15" t="s">
        <v>18</v>
      </c>
      <c r="E12" s="13">
        <v>40</v>
      </c>
      <c r="F12" s="7" t="s">
        <v>46</v>
      </c>
      <c r="G12" s="35">
        <v>2.99</v>
      </c>
      <c r="H12" s="35">
        <v>19.010000000000002</v>
      </c>
      <c r="I12" s="36">
        <f t="shared" si="1"/>
        <v>22</v>
      </c>
      <c r="J12" s="37">
        <v>0.2666</v>
      </c>
      <c r="K12" s="38">
        <f t="shared" si="2"/>
        <v>151.48536000000001</v>
      </c>
      <c r="L12" s="38">
        <f t="shared" si="0"/>
        <v>963.12264000000005</v>
      </c>
      <c r="M12" s="38">
        <f t="shared" si="0"/>
        <v>1114.6079999999999</v>
      </c>
      <c r="O12" s="33">
        <v>0.5</v>
      </c>
      <c r="P12" s="34">
        <f>O12*$M12</f>
        <v>557.30399999999997</v>
      </c>
      <c r="Q12" s="33">
        <v>0.5</v>
      </c>
      <c r="R12" s="34">
        <f>Q12*$M12</f>
        <v>557.30399999999997</v>
      </c>
      <c r="S12" s="27"/>
      <c r="T12" s="27"/>
      <c r="V12" s="28">
        <f t="shared" si="3"/>
        <v>1</v>
      </c>
      <c r="W12" s="8">
        <f t="shared" si="3"/>
        <v>1114.6079999999999</v>
      </c>
    </row>
    <row r="13" spans="1:23" x14ac:dyDescent="0.25">
      <c r="A13" s="18"/>
      <c r="B13" s="19"/>
      <c r="C13" s="39"/>
      <c r="D13" s="21"/>
      <c r="E13" s="22"/>
      <c r="F13" s="23"/>
      <c r="G13" s="23"/>
      <c r="H13" s="23"/>
      <c r="I13" s="31" t="s">
        <v>35</v>
      </c>
      <c r="J13" s="31"/>
      <c r="K13" s="32">
        <f t="shared" ref="K13:L13" si="4">SUM(K10:K12)</f>
        <v>438.42092399999996</v>
      </c>
      <c r="L13" s="32">
        <f t="shared" si="4"/>
        <v>2742.9489599999997</v>
      </c>
      <c r="M13" s="32">
        <f>SUM(M10:M12)</f>
        <v>3181.3698839999997</v>
      </c>
      <c r="P13" s="32">
        <f>SUM(P10:P12)</f>
        <v>1729.0863239999999</v>
      </c>
      <c r="R13" s="32">
        <f>SUM(R10:R12)</f>
        <v>1452.2835600000001</v>
      </c>
      <c r="T13" s="32">
        <f>SUM(T10:T12)</f>
        <v>0</v>
      </c>
    </row>
    <row r="14" spans="1:23" ht="15.75" thickBot="1" x14ac:dyDescent="0.3"/>
    <row r="15" spans="1:23" ht="15.75" thickBot="1" x14ac:dyDescent="0.3">
      <c r="A15" s="64" t="s">
        <v>59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6"/>
    </row>
    <row r="16" spans="1:23" x14ac:dyDescent="0.25">
      <c r="A16" s="59" t="s">
        <v>0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O16" s="59"/>
      <c r="P16" s="59"/>
      <c r="Q16" s="59"/>
      <c r="R16" s="59"/>
      <c r="S16" s="59"/>
      <c r="T16" s="59"/>
    </row>
    <row r="17" spans="1:23" hidden="1" x14ac:dyDescent="0.25">
      <c r="A17" s="9" t="s">
        <v>1</v>
      </c>
      <c r="B17" s="10" t="s">
        <v>2</v>
      </c>
      <c r="C17" s="10" t="s">
        <v>3</v>
      </c>
      <c r="D17" s="11" t="s">
        <v>4</v>
      </c>
      <c r="E17" s="4" t="s">
        <v>5</v>
      </c>
      <c r="F17" s="3" t="s">
        <v>6</v>
      </c>
      <c r="G17" s="3" t="s">
        <v>28</v>
      </c>
      <c r="H17" s="3" t="s">
        <v>29</v>
      </c>
      <c r="I17" s="5" t="s">
        <v>30</v>
      </c>
      <c r="J17" s="5" t="s">
        <v>31</v>
      </c>
      <c r="K17" s="3" t="s">
        <v>32</v>
      </c>
      <c r="L17" s="3" t="s">
        <v>33</v>
      </c>
      <c r="M17" s="5" t="s">
        <v>34</v>
      </c>
    </row>
    <row r="18" spans="1:23" hidden="1" x14ac:dyDescent="0.25">
      <c r="A18" s="6" t="s">
        <v>7</v>
      </c>
      <c r="B18" s="6" t="s">
        <v>8</v>
      </c>
      <c r="C18" s="17" t="s">
        <v>108</v>
      </c>
      <c r="D18" s="12" t="s">
        <v>19</v>
      </c>
      <c r="E18" s="13">
        <v>6</v>
      </c>
      <c r="F18" s="6" t="s">
        <v>20</v>
      </c>
      <c r="G18" s="35">
        <f>0.15+271.29</f>
        <v>271.44</v>
      </c>
      <c r="H18" s="35">
        <v>30.78</v>
      </c>
      <c r="I18" s="36">
        <f t="shared" ref="I18:I22" si="5">G18+H18</f>
        <v>302.22000000000003</v>
      </c>
      <c r="J18" s="37">
        <v>0.2666</v>
      </c>
      <c r="K18" s="38">
        <f t="shared" ref="K18:M22" si="6">$E18*G18*(1+$J18)</f>
        <v>2062.8354239999999</v>
      </c>
      <c r="L18" s="38">
        <f t="shared" si="6"/>
        <v>233.91568799999999</v>
      </c>
      <c r="M18" s="38">
        <f t="shared" si="6"/>
        <v>2296.7511119999999</v>
      </c>
      <c r="O18" s="33">
        <v>1</v>
      </c>
      <c r="P18" s="34">
        <f>O18*$M18</f>
        <v>2296.7511119999999</v>
      </c>
      <c r="Q18" s="27"/>
      <c r="R18" s="27"/>
      <c r="S18" s="27"/>
      <c r="T18" s="27"/>
      <c r="V18" s="28">
        <f t="shared" ref="V18:W22" si="7">O18+Q18+S18</f>
        <v>1</v>
      </c>
      <c r="W18" s="8">
        <f t="shared" si="7"/>
        <v>2296.7511119999999</v>
      </c>
    </row>
    <row r="19" spans="1:23" ht="60" hidden="1" x14ac:dyDescent="0.25">
      <c r="A19" s="6" t="s">
        <v>7</v>
      </c>
      <c r="B19" s="6" t="s">
        <v>9</v>
      </c>
      <c r="C19" s="17" t="s">
        <v>109</v>
      </c>
      <c r="D19" s="40" t="s">
        <v>110</v>
      </c>
      <c r="E19" s="13">
        <v>2</v>
      </c>
      <c r="F19" s="6" t="s">
        <v>21</v>
      </c>
      <c r="G19" s="35">
        <v>394.53</v>
      </c>
      <c r="H19" s="35">
        <v>0</v>
      </c>
      <c r="I19" s="36">
        <f t="shared" si="5"/>
        <v>394.53</v>
      </c>
      <c r="J19" s="37">
        <v>0.2666</v>
      </c>
      <c r="K19" s="38">
        <f t="shared" si="6"/>
        <v>999.42339599999991</v>
      </c>
      <c r="L19" s="38">
        <f t="shared" si="6"/>
        <v>0</v>
      </c>
      <c r="M19" s="38">
        <f t="shared" si="6"/>
        <v>999.42339599999991</v>
      </c>
      <c r="O19" s="33">
        <v>0.5</v>
      </c>
      <c r="P19" s="34">
        <f>O19*$M19</f>
        <v>499.71169799999996</v>
      </c>
      <c r="Q19" s="33">
        <v>0.5</v>
      </c>
      <c r="R19" s="34">
        <f>Q19*$M19</f>
        <v>499.71169799999996</v>
      </c>
      <c r="S19" s="27"/>
      <c r="T19" s="27"/>
      <c r="V19" s="28">
        <f t="shared" si="7"/>
        <v>1</v>
      </c>
      <c r="W19" s="8">
        <f t="shared" si="7"/>
        <v>999.42339599999991</v>
      </c>
    </row>
    <row r="20" spans="1:23" ht="60" hidden="1" x14ac:dyDescent="0.25">
      <c r="A20" s="6" t="s">
        <v>7</v>
      </c>
      <c r="B20" s="6" t="s">
        <v>10</v>
      </c>
      <c r="C20" s="17" t="s">
        <v>109</v>
      </c>
      <c r="D20" s="40" t="s">
        <v>110</v>
      </c>
      <c r="E20" s="13">
        <v>2</v>
      </c>
      <c r="F20" s="6" t="s">
        <v>21</v>
      </c>
      <c r="G20" s="35">
        <v>394.53</v>
      </c>
      <c r="H20" s="35">
        <v>0</v>
      </c>
      <c r="I20" s="36">
        <f t="shared" si="5"/>
        <v>394.53</v>
      </c>
      <c r="J20" s="37">
        <v>0.2666</v>
      </c>
      <c r="K20" s="38">
        <f t="shared" si="6"/>
        <v>999.42339599999991</v>
      </c>
      <c r="L20" s="38">
        <f t="shared" si="6"/>
        <v>0</v>
      </c>
      <c r="M20" s="38">
        <f t="shared" si="6"/>
        <v>999.42339599999991</v>
      </c>
      <c r="O20" s="33">
        <v>0.5</v>
      </c>
      <c r="P20" s="34">
        <f>O20*$M20</f>
        <v>499.71169799999996</v>
      </c>
      <c r="Q20" s="33">
        <v>0.5</v>
      </c>
      <c r="R20" s="34">
        <f>Q20*$M20</f>
        <v>499.71169799999996</v>
      </c>
      <c r="S20" s="27"/>
      <c r="T20" s="27"/>
      <c r="V20" s="28">
        <f t="shared" si="7"/>
        <v>1</v>
      </c>
      <c r="W20" s="8">
        <f t="shared" si="7"/>
        <v>999.42339599999991</v>
      </c>
    </row>
    <row r="21" spans="1:23" hidden="1" x14ac:dyDescent="0.25">
      <c r="A21" s="6" t="s">
        <v>7</v>
      </c>
      <c r="B21" s="6" t="s">
        <v>11</v>
      </c>
      <c r="C21" s="17" t="s">
        <v>111</v>
      </c>
      <c r="D21" s="12" t="s">
        <v>22</v>
      </c>
      <c r="E21" s="26">
        <v>54.8</v>
      </c>
      <c r="F21" s="6" t="s">
        <v>20</v>
      </c>
      <c r="G21" s="35">
        <f>56.86+0.01</f>
        <v>56.87</v>
      </c>
      <c r="H21" s="35">
        <v>4.5199999999999996</v>
      </c>
      <c r="I21" s="36">
        <f t="shared" si="5"/>
        <v>61.39</v>
      </c>
      <c r="J21" s="37">
        <v>0.2666</v>
      </c>
      <c r="K21" s="38">
        <f t="shared" si="6"/>
        <v>3947.3285015999995</v>
      </c>
      <c r="L21" s="38">
        <f t="shared" si="6"/>
        <v>313.73175359999993</v>
      </c>
      <c r="M21" s="38">
        <f t="shared" si="6"/>
        <v>4261.0602552</v>
      </c>
      <c r="O21" s="33">
        <v>1</v>
      </c>
      <c r="P21" s="34">
        <f>O21*$M21</f>
        <v>4261.0602552</v>
      </c>
      <c r="Q21" s="27"/>
      <c r="R21" s="27"/>
      <c r="S21" s="27"/>
      <c r="T21" s="27"/>
      <c r="V21" s="28">
        <f t="shared" si="7"/>
        <v>1</v>
      </c>
      <c r="W21" s="8">
        <f t="shared" si="7"/>
        <v>4261.0602552</v>
      </c>
    </row>
    <row r="22" spans="1:23" ht="45" hidden="1" x14ac:dyDescent="0.25">
      <c r="A22" s="6" t="s">
        <v>7</v>
      </c>
      <c r="B22" s="6" t="s">
        <v>12</v>
      </c>
      <c r="C22" s="17" t="s">
        <v>112</v>
      </c>
      <c r="D22" s="12" t="s">
        <v>23</v>
      </c>
      <c r="E22" s="26">
        <v>520.38</v>
      </c>
      <c r="F22" s="6" t="s">
        <v>20</v>
      </c>
      <c r="G22" s="35">
        <v>1.26</v>
      </c>
      <c r="H22" s="35">
        <v>2.23</v>
      </c>
      <c r="I22" s="36">
        <f t="shared" si="5"/>
        <v>3.49</v>
      </c>
      <c r="J22" s="37">
        <v>0.2666</v>
      </c>
      <c r="K22" s="38">
        <f t="shared" si="6"/>
        <v>830.48276808000003</v>
      </c>
      <c r="L22" s="38">
        <f t="shared" si="6"/>
        <v>1469.82267684</v>
      </c>
      <c r="M22" s="38">
        <f t="shared" si="6"/>
        <v>2300.3054449199999</v>
      </c>
      <c r="O22" s="33">
        <v>1</v>
      </c>
      <c r="P22" s="34">
        <f>O22*$M22</f>
        <v>2300.3054449199999</v>
      </c>
      <c r="Q22" s="27"/>
      <c r="R22" s="27"/>
      <c r="S22" s="27"/>
      <c r="T22" s="27"/>
      <c r="V22" s="28">
        <f t="shared" si="7"/>
        <v>1</v>
      </c>
      <c r="W22" s="8">
        <f t="shared" si="7"/>
        <v>2300.3054449199999</v>
      </c>
    </row>
    <row r="23" spans="1:23" x14ac:dyDescent="0.25">
      <c r="I23" s="31" t="s">
        <v>35</v>
      </c>
      <c r="J23" s="31"/>
      <c r="K23" s="32">
        <f t="shared" ref="K23:L23" si="8">SUM(K18:K22)</f>
        <v>8839.493485680001</v>
      </c>
      <c r="L23" s="32">
        <f t="shared" si="8"/>
        <v>2017.4701184399999</v>
      </c>
      <c r="M23" s="32">
        <f>SUM(M18:M22)</f>
        <v>10856.963604119999</v>
      </c>
      <c r="P23" s="32">
        <f>SUM(P18:P22)</f>
        <v>9857.5402081200009</v>
      </c>
      <c r="R23" s="32">
        <f>SUM(R18:R22)</f>
        <v>999.42339599999991</v>
      </c>
      <c r="T23" s="32">
        <f>SUM(T18:T22)</f>
        <v>0</v>
      </c>
    </row>
    <row r="24" spans="1:23" ht="15.75" thickBot="1" x14ac:dyDescent="0.3"/>
    <row r="25" spans="1:23" ht="15.75" thickBot="1" x14ac:dyDescent="0.3">
      <c r="A25" s="64" t="s">
        <v>60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6"/>
    </row>
    <row r="26" spans="1:23" x14ac:dyDescent="0.25">
      <c r="A26" s="59" t="s">
        <v>38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O26" s="59"/>
      <c r="P26" s="59"/>
      <c r="Q26" s="59"/>
      <c r="R26" s="59"/>
      <c r="S26" s="59"/>
      <c r="T26" s="59"/>
    </row>
    <row r="27" spans="1:23" hidden="1" x14ac:dyDescent="0.25">
      <c r="A27" s="2" t="s">
        <v>1</v>
      </c>
      <c r="B27" s="3" t="s">
        <v>2</v>
      </c>
      <c r="C27" s="3" t="s">
        <v>3</v>
      </c>
      <c r="D27" s="3" t="s">
        <v>4</v>
      </c>
      <c r="E27" s="4" t="s">
        <v>5</v>
      </c>
      <c r="F27" s="3" t="s">
        <v>6</v>
      </c>
      <c r="G27" s="3" t="s">
        <v>28</v>
      </c>
      <c r="H27" s="3" t="s">
        <v>29</v>
      </c>
      <c r="I27" s="5" t="s">
        <v>30</v>
      </c>
      <c r="J27" s="5" t="s">
        <v>31</v>
      </c>
      <c r="K27" s="3" t="s">
        <v>32</v>
      </c>
      <c r="L27" s="3" t="s">
        <v>33</v>
      </c>
      <c r="M27" s="5" t="s">
        <v>34</v>
      </c>
    </row>
    <row r="28" spans="1:23" hidden="1" x14ac:dyDescent="0.25">
      <c r="A28" s="14" t="s">
        <v>14</v>
      </c>
      <c r="B28" s="14" t="s">
        <v>8</v>
      </c>
      <c r="C28" s="14" t="s">
        <v>15</v>
      </c>
      <c r="D28" s="15" t="s">
        <v>16</v>
      </c>
      <c r="E28" s="13">
        <v>1</v>
      </c>
      <c r="F28" s="7" t="s">
        <v>105</v>
      </c>
      <c r="G28" s="35">
        <v>218.54</v>
      </c>
      <c r="H28" s="35">
        <v>0</v>
      </c>
      <c r="I28" s="36">
        <f t="shared" ref="I28:I30" si="9">G28+H28</f>
        <v>218.54</v>
      </c>
      <c r="J28" s="37">
        <v>0.2666</v>
      </c>
      <c r="K28" s="38">
        <f t="shared" ref="K28:M30" si="10">$E28*G28*(1+$J28)</f>
        <v>276.80276399999997</v>
      </c>
      <c r="L28" s="38">
        <f t="shared" si="10"/>
        <v>0</v>
      </c>
      <c r="M28" s="38">
        <f t="shared" si="10"/>
        <v>276.80276399999997</v>
      </c>
      <c r="O28" s="33">
        <v>1</v>
      </c>
      <c r="P28" s="34">
        <f>O28*$M28</f>
        <v>276.80276399999997</v>
      </c>
      <c r="Q28" s="27"/>
      <c r="R28" s="27"/>
      <c r="S28" s="27"/>
      <c r="T28" s="27"/>
      <c r="V28" s="28">
        <f t="shared" ref="V28:W30" si="11">O28+Q28+S28</f>
        <v>1</v>
      </c>
      <c r="W28" s="8">
        <f t="shared" si="11"/>
        <v>276.80276399999997</v>
      </c>
    </row>
    <row r="29" spans="1:23" ht="30" hidden="1" x14ac:dyDescent="0.25">
      <c r="A29" s="6" t="s">
        <v>7</v>
      </c>
      <c r="B29" s="16" t="s">
        <v>9</v>
      </c>
      <c r="C29" s="14" t="s">
        <v>106</v>
      </c>
      <c r="D29" s="15" t="s">
        <v>17</v>
      </c>
      <c r="E29" s="13">
        <v>160</v>
      </c>
      <c r="F29" s="7" t="s">
        <v>46</v>
      </c>
      <c r="G29" s="35">
        <v>0.4</v>
      </c>
      <c r="H29" s="35">
        <v>70.260000000000005</v>
      </c>
      <c r="I29" s="36">
        <f t="shared" si="9"/>
        <v>70.660000000000011</v>
      </c>
      <c r="J29" s="37">
        <v>0.2666</v>
      </c>
      <c r="K29" s="38">
        <f t="shared" si="10"/>
        <v>81.062399999999997</v>
      </c>
      <c r="L29" s="38">
        <f t="shared" si="10"/>
        <v>14238.610559999999</v>
      </c>
      <c r="M29" s="38">
        <f t="shared" si="10"/>
        <v>14319.672960000002</v>
      </c>
      <c r="O29" s="27"/>
      <c r="P29" s="27"/>
      <c r="Q29" s="33">
        <v>0.5</v>
      </c>
      <c r="R29" s="34">
        <f>Q29*$M29</f>
        <v>7159.8364800000008</v>
      </c>
      <c r="S29" s="33">
        <v>0.5</v>
      </c>
      <c r="T29" s="34">
        <f>S29*$M29</f>
        <v>7159.8364800000008</v>
      </c>
      <c r="V29" s="28">
        <f t="shared" si="11"/>
        <v>1</v>
      </c>
      <c r="W29" s="8">
        <f t="shared" si="11"/>
        <v>14319.672960000002</v>
      </c>
    </row>
    <row r="30" spans="1:23" ht="30" hidden="1" x14ac:dyDescent="0.25">
      <c r="A30" s="6" t="s">
        <v>7</v>
      </c>
      <c r="B30" s="16" t="s">
        <v>10</v>
      </c>
      <c r="C30" s="14" t="s">
        <v>107</v>
      </c>
      <c r="D30" s="15" t="s">
        <v>18</v>
      </c>
      <c r="E30" s="13">
        <v>320</v>
      </c>
      <c r="F30" s="7" t="s">
        <v>46</v>
      </c>
      <c r="G30" s="35">
        <v>2.99</v>
      </c>
      <c r="H30" s="35">
        <v>19.010000000000002</v>
      </c>
      <c r="I30" s="36">
        <f t="shared" si="9"/>
        <v>22</v>
      </c>
      <c r="J30" s="37">
        <v>0.2666</v>
      </c>
      <c r="K30" s="38">
        <f t="shared" si="10"/>
        <v>1211.8828800000001</v>
      </c>
      <c r="L30" s="38">
        <f t="shared" si="10"/>
        <v>7704.9811200000004</v>
      </c>
      <c r="M30" s="38">
        <f t="shared" si="10"/>
        <v>8916.8639999999996</v>
      </c>
      <c r="O30" s="27"/>
      <c r="P30" s="27"/>
      <c r="Q30" s="33">
        <v>0.5</v>
      </c>
      <c r="R30" s="34">
        <f>Q30*$M30</f>
        <v>4458.4319999999998</v>
      </c>
      <c r="S30" s="33">
        <v>0.5</v>
      </c>
      <c r="T30" s="34">
        <f>S30*$M30</f>
        <v>4458.4319999999998</v>
      </c>
      <c r="V30" s="28">
        <f t="shared" si="11"/>
        <v>1</v>
      </c>
      <c r="W30" s="8">
        <f t="shared" si="11"/>
        <v>8916.8639999999996</v>
      </c>
    </row>
    <row r="31" spans="1:23" x14ac:dyDescent="0.25">
      <c r="A31" s="18"/>
      <c r="B31" s="19"/>
      <c r="C31" s="39"/>
      <c r="D31" s="21"/>
      <c r="E31" s="22"/>
      <c r="F31" s="23"/>
      <c r="G31" s="23"/>
      <c r="H31" s="23"/>
      <c r="I31" s="31" t="s">
        <v>35</v>
      </c>
      <c r="J31" s="31"/>
      <c r="K31" s="32">
        <f t="shared" ref="K31:L31" si="12">SUM(K28:K30)</f>
        <v>1569.7480439999999</v>
      </c>
      <c r="L31" s="32">
        <f t="shared" si="12"/>
        <v>21943.591679999998</v>
      </c>
      <c r="M31" s="32">
        <f>SUM(M28:M30)</f>
        <v>23513.339724000001</v>
      </c>
      <c r="P31" s="32">
        <f>SUM(P28:P30)</f>
        <v>276.80276399999997</v>
      </c>
      <c r="R31" s="32">
        <f>SUM(R28:R30)</f>
        <v>11618.268480000001</v>
      </c>
      <c r="T31" s="32">
        <f>SUM(T28:T30)</f>
        <v>11618.268480000001</v>
      </c>
    </row>
    <row r="32" spans="1:23" ht="15.75" thickBot="1" x14ac:dyDescent="0.3"/>
    <row r="33" spans="1:23" ht="15.75" thickBot="1" x14ac:dyDescent="0.3">
      <c r="A33" s="64" t="s">
        <v>61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6"/>
    </row>
    <row r="34" spans="1:23" x14ac:dyDescent="0.25">
      <c r="A34" s="59" t="s">
        <v>64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  <c r="O34" s="59"/>
      <c r="P34" s="59"/>
      <c r="Q34" s="59"/>
      <c r="R34" s="59"/>
      <c r="S34" s="59"/>
      <c r="T34" s="59"/>
    </row>
    <row r="35" spans="1:23" hidden="1" x14ac:dyDescent="0.25">
      <c r="A35" s="9" t="s">
        <v>1</v>
      </c>
      <c r="B35" s="10" t="s">
        <v>2</v>
      </c>
      <c r="C35" s="10" t="s">
        <v>3</v>
      </c>
      <c r="D35" s="11" t="s">
        <v>4</v>
      </c>
      <c r="E35" s="4" t="s">
        <v>5</v>
      </c>
      <c r="F35" s="3" t="s">
        <v>6</v>
      </c>
      <c r="G35" s="3" t="s">
        <v>28</v>
      </c>
      <c r="H35" s="3" t="s">
        <v>29</v>
      </c>
      <c r="I35" s="5" t="s">
        <v>30</v>
      </c>
      <c r="J35" s="5" t="s">
        <v>31</v>
      </c>
      <c r="K35" s="3" t="s">
        <v>32</v>
      </c>
      <c r="L35" s="3" t="s">
        <v>33</v>
      </c>
      <c r="M35" s="5" t="s">
        <v>34</v>
      </c>
    </row>
    <row r="36" spans="1:23" ht="45" hidden="1" x14ac:dyDescent="0.25">
      <c r="A36" s="45" t="s">
        <v>113</v>
      </c>
      <c r="B36" s="46" t="s">
        <v>8</v>
      </c>
      <c r="C36" s="47" t="s">
        <v>15</v>
      </c>
      <c r="D36" s="12" t="s">
        <v>65</v>
      </c>
      <c r="E36" s="13">
        <v>1</v>
      </c>
      <c r="F36" s="6" t="s">
        <v>6</v>
      </c>
      <c r="G36" s="35">
        <v>109600</v>
      </c>
      <c r="H36" s="35">
        <v>0</v>
      </c>
      <c r="I36" s="36">
        <f t="shared" ref="I36:I38" si="13">G36+H36</f>
        <v>109600</v>
      </c>
      <c r="J36" s="44">
        <v>0.15160000000000001</v>
      </c>
      <c r="K36" s="38">
        <f t="shared" ref="K36:M38" si="14">$E36*G36*(1+$J36)</f>
        <v>126215.36</v>
      </c>
      <c r="L36" s="38">
        <f t="shared" si="14"/>
        <v>0</v>
      </c>
      <c r="M36" s="38">
        <f t="shared" si="14"/>
        <v>126215.36</v>
      </c>
      <c r="O36" s="27"/>
      <c r="P36" s="27"/>
      <c r="Q36" s="33">
        <v>0.2</v>
      </c>
      <c r="R36" s="34">
        <f t="shared" ref="R36:T38" si="15">Q36*$M36</f>
        <v>25243.072</v>
      </c>
      <c r="S36" s="33">
        <v>0.8</v>
      </c>
      <c r="T36" s="34">
        <f t="shared" si="15"/>
        <v>100972.288</v>
      </c>
      <c r="V36" s="28">
        <f t="shared" ref="V36:W38" si="16">O36+Q36+S36</f>
        <v>1</v>
      </c>
      <c r="W36" s="8">
        <f t="shared" si="16"/>
        <v>126215.36</v>
      </c>
    </row>
    <row r="37" spans="1:23" ht="45" hidden="1" x14ac:dyDescent="0.25">
      <c r="A37" s="6" t="s">
        <v>7</v>
      </c>
      <c r="B37" s="6" t="s">
        <v>114</v>
      </c>
      <c r="C37" s="17" t="s">
        <v>115</v>
      </c>
      <c r="D37" s="12" t="s">
        <v>45</v>
      </c>
      <c r="E37" s="13">
        <v>40</v>
      </c>
      <c r="F37" s="6" t="s">
        <v>46</v>
      </c>
      <c r="G37" s="35">
        <v>117.13</v>
      </c>
      <c r="H37" s="35">
        <v>0</v>
      </c>
      <c r="I37" s="36">
        <f t="shared" si="13"/>
        <v>117.13</v>
      </c>
      <c r="J37" s="37">
        <v>0.2666</v>
      </c>
      <c r="K37" s="38">
        <f t="shared" si="14"/>
        <v>5934.2743199999995</v>
      </c>
      <c r="L37" s="38">
        <f t="shared" si="14"/>
        <v>0</v>
      </c>
      <c r="M37" s="38">
        <f t="shared" si="14"/>
        <v>5934.2743199999995</v>
      </c>
      <c r="O37" s="27"/>
      <c r="P37" s="27"/>
      <c r="Q37" s="27"/>
      <c r="R37" s="27"/>
      <c r="S37" s="33">
        <v>1</v>
      </c>
      <c r="T37" s="34">
        <f t="shared" si="15"/>
        <v>5934.2743199999995</v>
      </c>
      <c r="V37" s="28">
        <f t="shared" si="16"/>
        <v>1</v>
      </c>
      <c r="W37" s="8">
        <f t="shared" si="16"/>
        <v>5934.2743199999995</v>
      </c>
    </row>
    <row r="38" spans="1:23" ht="30" hidden="1" x14ac:dyDescent="0.25">
      <c r="A38" s="41" t="s">
        <v>7</v>
      </c>
      <c r="B38" s="41" t="s">
        <v>116</v>
      </c>
      <c r="C38" s="42" t="s">
        <v>117</v>
      </c>
      <c r="D38" s="12" t="s">
        <v>118</v>
      </c>
      <c r="E38" s="13">
        <v>40</v>
      </c>
      <c r="F38" s="6" t="s">
        <v>46</v>
      </c>
      <c r="G38" s="35">
        <v>3.76</v>
      </c>
      <c r="H38" s="35">
        <v>17.82</v>
      </c>
      <c r="I38" s="36">
        <f t="shared" si="13"/>
        <v>21.58</v>
      </c>
      <c r="J38" s="37">
        <v>0.2666</v>
      </c>
      <c r="K38" s="38">
        <f t="shared" si="14"/>
        <v>190.49663999999996</v>
      </c>
      <c r="L38" s="38">
        <f t="shared" si="14"/>
        <v>902.83247999999992</v>
      </c>
      <c r="M38" s="38">
        <f t="shared" si="14"/>
        <v>1093.3291199999999</v>
      </c>
      <c r="O38" s="27"/>
      <c r="P38" s="27"/>
      <c r="Q38" s="27"/>
      <c r="R38" s="27"/>
      <c r="S38" s="33">
        <v>1</v>
      </c>
      <c r="T38" s="34">
        <f t="shared" si="15"/>
        <v>1093.3291199999999</v>
      </c>
      <c r="V38" s="28">
        <f t="shared" si="16"/>
        <v>1</v>
      </c>
      <c r="W38" s="8">
        <f t="shared" si="16"/>
        <v>1093.3291199999999</v>
      </c>
    </row>
    <row r="39" spans="1:23" x14ac:dyDescent="0.25">
      <c r="C39" s="43"/>
      <c r="I39" s="31" t="s">
        <v>35</v>
      </c>
      <c r="J39" s="31"/>
      <c r="K39" s="32">
        <f t="shared" ref="K39:L39" si="17">SUM(K36:K38)</f>
        <v>132340.13096000001</v>
      </c>
      <c r="L39" s="32">
        <f t="shared" si="17"/>
        <v>902.83247999999992</v>
      </c>
      <c r="M39" s="32">
        <f>SUM(M36:M38)</f>
        <v>133242.96344000002</v>
      </c>
      <c r="P39" s="32">
        <f>SUM(P36:P38)</f>
        <v>0</v>
      </c>
      <c r="R39" s="32">
        <f>SUM(R36:R38)</f>
        <v>25243.072</v>
      </c>
      <c r="T39" s="32">
        <f>SUM(T36:T38)</f>
        <v>107999.89143999999</v>
      </c>
    </row>
    <row r="40" spans="1:23" ht="15.75" thickBot="1" x14ac:dyDescent="0.3"/>
    <row r="41" spans="1:23" x14ac:dyDescent="0.25">
      <c r="A41" s="59" t="s">
        <v>66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  <c r="O41" s="59"/>
      <c r="P41" s="59"/>
      <c r="Q41" s="59"/>
      <c r="R41" s="59"/>
      <c r="S41" s="59"/>
      <c r="T41" s="59"/>
    </row>
    <row r="42" spans="1:23" hidden="1" x14ac:dyDescent="0.25">
      <c r="A42" s="9" t="s">
        <v>1</v>
      </c>
      <c r="B42" s="10" t="s">
        <v>2</v>
      </c>
      <c r="C42" s="10" t="s">
        <v>3</v>
      </c>
      <c r="D42" s="11" t="s">
        <v>4</v>
      </c>
      <c r="E42" s="4" t="s">
        <v>5</v>
      </c>
      <c r="F42" s="3" t="s">
        <v>6</v>
      </c>
      <c r="G42" s="3" t="s">
        <v>28</v>
      </c>
      <c r="H42" s="3" t="s">
        <v>29</v>
      </c>
      <c r="I42" s="5" t="s">
        <v>30</v>
      </c>
      <c r="J42" s="5" t="s">
        <v>31</v>
      </c>
      <c r="K42" s="3" t="s">
        <v>32</v>
      </c>
      <c r="L42" s="3" t="s">
        <v>33</v>
      </c>
      <c r="M42" s="5" t="s">
        <v>34</v>
      </c>
    </row>
    <row r="43" spans="1:23" hidden="1" x14ac:dyDescent="0.25">
      <c r="A43" s="6" t="s">
        <v>7</v>
      </c>
      <c r="B43" s="6" t="s">
        <v>47</v>
      </c>
      <c r="C43" s="17" t="s">
        <v>119</v>
      </c>
      <c r="D43" s="12" t="s">
        <v>120</v>
      </c>
      <c r="E43" s="13">
        <v>75</v>
      </c>
      <c r="F43" s="6" t="s">
        <v>42</v>
      </c>
      <c r="G43" s="35">
        <f>0.12+70.45</f>
        <v>70.570000000000007</v>
      </c>
      <c r="H43" s="35">
        <v>22.78</v>
      </c>
      <c r="I43" s="36">
        <f t="shared" ref="I43" si="18">G43+H43</f>
        <v>93.350000000000009</v>
      </c>
      <c r="J43" s="37">
        <v>0.2666</v>
      </c>
      <c r="K43" s="38">
        <f t="shared" ref="K43:M43" si="19">$E43*G43*(1+$J43)</f>
        <v>6703.7971500000012</v>
      </c>
      <c r="L43" s="38">
        <f t="shared" si="19"/>
        <v>2163.9861000000001</v>
      </c>
      <c r="M43" s="38">
        <f t="shared" si="19"/>
        <v>8867.7832500000004</v>
      </c>
      <c r="O43" s="27"/>
      <c r="P43" s="27"/>
      <c r="Q43" s="33">
        <v>0.3</v>
      </c>
      <c r="R43" s="34">
        <f>Q43*$M43</f>
        <v>2660.3349750000002</v>
      </c>
      <c r="S43" s="33">
        <v>0.7</v>
      </c>
      <c r="T43" s="34">
        <f>S43*$M43</f>
        <v>6207.4482749999997</v>
      </c>
      <c r="V43" s="28">
        <f t="shared" ref="V43:W44" si="20">O43+Q43+S43</f>
        <v>1</v>
      </c>
      <c r="W43" s="8">
        <f t="shared" si="20"/>
        <v>8867.7832500000004</v>
      </c>
    </row>
    <row r="44" spans="1:23" hidden="1" x14ac:dyDescent="0.25">
      <c r="A44" s="6"/>
      <c r="B44" s="6"/>
      <c r="C44" s="17"/>
      <c r="D44" s="12"/>
      <c r="E44" s="13"/>
      <c r="F44" s="6"/>
      <c r="G44" s="6"/>
      <c r="H44" s="6"/>
      <c r="I44" s="6"/>
      <c r="J44" s="6"/>
      <c r="K44" s="6"/>
      <c r="L44" s="6"/>
      <c r="M44" s="6"/>
      <c r="V44" s="28">
        <f t="shared" si="20"/>
        <v>0</v>
      </c>
      <c r="W44" s="8">
        <f t="shared" si="20"/>
        <v>0</v>
      </c>
    </row>
    <row r="45" spans="1:23" x14ac:dyDescent="0.25">
      <c r="I45" s="31" t="s">
        <v>35</v>
      </c>
      <c r="J45" s="31"/>
      <c r="K45" s="32">
        <f t="shared" ref="K45:L45" si="21">SUM(K42:K44)</f>
        <v>6703.7971500000012</v>
      </c>
      <c r="L45" s="32">
        <f t="shared" si="21"/>
        <v>2163.9861000000001</v>
      </c>
      <c r="M45" s="32">
        <f>SUM(M42:M44)</f>
        <v>8867.7832500000004</v>
      </c>
      <c r="P45" s="32">
        <f>SUM(P42:P44)</f>
        <v>0</v>
      </c>
      <c r="R45" s="32">
        <f>SUM(R42:R44)</f>
        <v>2660.3349750000002</v>
      </c>
      <c r="T45" s="32">
        <f>SUM(T42:T44)</f>
        <v>6207.4482749999997</v>
      </c>
    </row>
    <row r="46" spans="1:23" ht="15.75" thickBot="1" x14ac:dyDescent="0.3"/>
    <row r="47" spans="1:23" x14ac:dyDescent="0.25">
      <c r="A47" s="59" t="s">
        <v>67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O47" s="59"/>
      <c r="P47" s="59"/>
      <c r="Q47" s="59"/>
      <c r="R47" s="59"/>
      <c r="S47" s="59"/>
      <c r="T47" s="59"/>
    </row>
    <row r="48" spans="1:23" hidden="1" x14ac:dyDescent="0.25">
      <c r="A48" s="9" t="s">
        <v>1</v>
      </c>
      <c r="B48" s="10" t="s">
        <v>2</v>
      </c>
      <c r="C48" s="10" t="s">
        <v>3</v>
      </c>
      <c r="D48" s="11" t="s">
        <v>4</v>
      </c>
      <c r="E48" s="4" t="s">
        <v>5</v>
      </c>
      <c r="F48" s="3" t="s">
        <v>6</v>
      </c>
      <c r="G48" s="3" t="s">
        <v>28</v>
      </c>
      <c r="H48" s="3" t="s">
        <v>29</v>
      </c>
      <c r="I48" s="5" t="s">
        <v>30</v>
      </c>
      <c r="J48" s="5" t="s">
        <v>31</v>
      </c>
      <c r="K48" s="3" t="s">
        <v>32</v>
      </c>
      <c r="L48" s="3" t="s">
        <v>33</v>
      </c>
      <c r="M48" s="5" t="s">
        <v>34</v>
      </c>
    </row>
    <row r="49" spans="1:23" ht="30" hidden="1" x14ac:dyDescent="0.25">
      <c r="A49" s="6" t="s">
        <v>7</v>
      </c>
      <c r="B49" s="6" t="s">
        <v>68</v>
      </c>
      <c r="C49" s="17" t="s">
        <v>121</v>
      </c>
      <c r="D49" s="12" t="s">
        <v>69</v>
      </c>
      <c r="E49" s="13">
        <v>17.5</v>
      </c>
      <c r="F49" s="6" t="s">
        <v>42</v>
      </c>
      <c r="G49" s="35">
        <f>0.26+22.95</f>
        <v>23.21</v>
      </c>
      <c r="H49" s="35">
        <v>55.69</v>
      </c>
      <c r="I49" s="36">
        <f t="shared" ref="I49:I69" si="22">G49+H49</f>
        <v>78.900000000000006</v>
      </c>
      <c r="J49" s="37">
        <v>0.2666</v>
      </c>
      <c r="K49" s="38">
        <f t="shared" ref="K49:M64" si="23">$E49*G49*(1+$J49)</f>
        <v>514.46125499999994</v>
      </c>
      <c r="L49" s="38">
        <f t="shared" si="23"/>
        <v>1234.3966949999999</v>
      </c>
      <c r="M49" s="38">
        <f t="shared" si="23"/>
        <v>1748.8579499999998</v>
      </c>
      <c r="O49" s="33">
        <v>1</v>
      </c>
      <c r="P49" s="34">
        <f>O49*$M49</f>
        <v>1748.8579499999998</v>
      </c>
      <c r="Q49" s="27"/>
      <c r="R49" s="27"/>
      <c r="S49" s="27"/>
      <c r="T49" s="27"/>
      <c r="V49" s="28">
        <f t="shared" ref="V49:W69" si="24">O49+Q49+S49</f>
        <v>1</v>
      </c>
      <c r="W49" s="8">
        <f t="shared" si="24"/>
        <v>1748.8579499999998</v>
      </c>
    </row>
    <row r="50" spans="1:23" ht="30" hidden="1" x14ac:dyDescent="0.25">
      <c r="A50" s="6" t="s">
        <v>7</v>
      </c>
      <c r="B50" s="6" t="s">
        <v>70</v>
      </c>
      <c r="C50" s="17" t="s">
        <v>122</v>
      </c>
      <c r="D50" s="12" t="s">
        <v>71</v>
      </c>
      <c r="E50" s="13">
        <v>22.5</v>
      </c>
      <c r="F50" s="6" t="s">
        <v>41</v>
      </c>
      <c r="G50" s="35">
        <f>0.01+4.89</f>
        <v>4.8999999999999995</v>
      </c>
      <c r="H50" s="35">
        <v>3.69</v>
      </c>
      <c r="I50" s="36">
        <f t="shared" si="22"/>
        <v>8.59</v>
      </c>
      <c r="J50" s="37">
        <v>0.2666</v>
      </c>
      <c r="K50" s="38">
        <f t="shared" si="23"/>
        <v>139.64264999999997</v>
      </c>
      <c r="L50" s="38">
        <f t="shared" si="23"/>
        <v>105.159465</v>
      </c>
      <c r="M50" s="38">
        <f t="shared" si="23"/>
        <v>244.80211499999999</v>
      </c>
      <c r="O50" s="33">
        <v>1</v>
      </c>
      <c r="P50" s="34">
        <f t="shared" ref="P50:R63" si="25">O50*$M50</f>
        <v>244.80211499999999</v>
      </c>
      <c r="Q50" s="27"/>
      <c r="R50" s="27"/>
      <c r="S50" s="27"/>
      <c r="T50" s="27"/>
      <c r="V50" s="28">
        <f t="shared" si="24"/>
        <v>1</v>
      </c>
      <c r="W50" s="8">
        <f t="shared" si="24"/>
        <v>244.80211499999999</v>
      </c>
    </row>
    <row r="51" spans="1:23" hidden="1" x14ac:dyDescent="0.25">
      <c r="A51" s="6" t="s">
        <v>7</v>
      </c>
      <c r="B51" s="6" t="s">
        <v>72</v>
      </c>
      <c r="C51" s="17" t="s">
        <v>124</v>
      </c>
      <c r="D51" s="12" t="s">
        <v>55</v>
      </c>
      <c r="E51" s="13">
        <v>6</v>
      </c>
      <c r="F51" s="6" t="s">
        <v>42</v>
      </c>
      <c r="G51" s="35">
        <f>0.03+8.45</f>
        <v>8.4799999999999986</v>
      </c>
      <c r="H51" s="35">
        <v>11.49</v>
      </c>
      <c r="I51" s="36">
        <f t="shared" si="22"/>
        <v>19.97</v>
      </c>
      <c r="J51" s="37">
        <v>0.2666</v>
      </c>
      <c r="K51" s="38">
        <f t="shared" si="23"/>
        <v>64.444607999999988</v>
      </c>
      <c r="L51" s="38">
        <f t="shared" si="23"/>
        <v>87.319403999999992</v>
      </c>
      <c r="M51" s="38">
        <f t="shared" si="23"/>
        <v>151.76401199999998</v>
      </c>
      <c r="O51" s="33">
        <v>1</v>
      </c>
      <c r="P51" s="34">
        <f t="shared" si="25"/>
        <v>151.76401199999998</v>
      </c>
      <c r="Q51" s="27"/>
      <c r="R51" s="27"/>
      <c r="S51" s="27"/>
      <c r="T51" s="27"/>
      <c r="V51" s="28">
        <f t="shared" si="24"/>
        <v>1</v>
      </c>
      <c r="W51" s="8">
        <f t="shared" si="24"/>
        <v>151.76401199999998</v>
      </c>
    </row>
    <row r="52" spans="1:23" ht="45" hidden="1" x14ac:dyDescent="0.25">
      <c r="A52" s="6" t="s">
        <v>7</v>
      </c>
      <c r="B52" s="6" t="s">
        <v>73</v>
      </c>
      <c r="C52" s="17" t="s">
        <v>125</v>
      </c>
      <c r="D52" s="12" t="s">
        <v>74</v>
      </c>
      <c r="E52" s="13">
        <v>12</v>
      </c>
      <c r="F52" s="6" t="s">
        <v>41</v>
      </c>
      <c r="G52" s="35">
        <f>0.06+20.29+0.02</f>
        <v>20.369999999999997</v>
      </c>
      <c r="H52" s="35">
        <v>19.05</v>
      </c>
      <c r="I52" s="36">
        <f t="shared" si="22"/>
        <v>39.42</v>
      </c>
      <c r="J52" s="37">
        <v>0.2666</v>
      </c>
      <c r="K52" s="38">
        <f t="shared" si="23"/>
        <v>309.60770399999996</v>
      </c>
      <c r="L52" s="38">
        <f t="shared" si="23"/>
        <v>289.54476</v>
      </c>
      <c r="M52" s="38">
        <f t="shared" si="23"/>
        <v>599.15246400000001</v>
      </c>
      <c r="O52" s="33">
        <v>1</v>
      </c>
      <c r="P52" s="34">
        <f t="shared" si="25"/>
        <v>599.15246400000001</v>
      </c>
      <c r="Q52" s="27"/>
      <c r="R52" s="27"/>
      <c r="S52" s="27"/>
      <c r="T52" s="27"/>
      <c r="V52" s="28">
        <f t="shared" si="24"/>
        <v>1</v>
      </c>
      <c r="W52" s="8">
        <f t="shared" si="24"/>
        <v>599.15246400000001</v>
      </c>
    </row>
    <row r="53" spans="1:23" ht="45" hidden="1" x14ac:dyDescent="0.25">
      <c r="A53" s="6" t="s">
        <v>7</v>
      </c>
      <c r="B53" s="6" t="s">
        <v>75</v>
      </c>
      <c r="C53" s="17" t="s">
        <v>126</v>
      </c>
      <c r="D53" s="12" t="s">
        <v>76</v>
      </c>
      <c r="E53" s="13">
        <v>9</v>
      </c>
      <c r="F53" s="6" t="s">
        <v>41</v>
      </c>
      <c r="G53" s="35">
        <f>0.18+35.32+0.13</f>
        <v>35.630000000000003</v>
      </c>
      <c r="H53" s="35">
        <v>46.2</v>
      </c>
      <c r="I53" s="36">
        <f t="shared" si="22"/>
        <v>81.830000000000013</v>
      </c>
      <c r="J53" s="37">
        <v>0.2666</v>
      </c>
      <c r="K53" s="38">
        <f t="shared" si="23"/>
        <v>406.16062199999999</v>
      </c>
      <c r="L53" s="38">
        <f t="shared" si="23"/>
        <v>526.65228000000002</v>
      </c>
      <c r="M53" s="38">
        <f t="shared" si="23"/>
        <v>932.81290200000012</v>
      </c>
      <c r="O53" s="33">
        <v>1</v>
      </c>
      <c r="P53" s="34">
        <f t="shared" si="25"/>
        <v>932.81290200000012</v>
      </c>
      <c r="Q53" s="27"/>
      <c r="R53" s="27"/>
      <c r="S53" s="27"/>
      <c r="T53" s="27"/>
      <c r="V53" s="28">
        <f t="shared" si="24"/>
        <v>1</v>
      </c>
      <c r="W53" s="8">
        <f t="shared" si="24"/>
        <v>932.81290200000012</v>
      </c>
    </row>
    <row r="54" spans="1:23" ht="30" hidden="1" x14ac:dyDescent="0.25">
      <c r="A54" s="6" t="s">
        <v>7</v>
      </c>
      <c r="B54" s="6" t="s">
        <v>77</v>
      </c>
      <c r="C54" s="17" t="s">
        <v>127</v>
      </c>
      <c r="D54" s="12" t="s">
        <v>78</v>
      </c>
      <c r="E54" s="13">
        <v>35</v>
      </c>
      <c r="F54" s="6" t="s">
        <v>39</v>
      </c>
      <c r="G54" s="35">
        <v>7.63</v>
      </c>
      <c r="H54" s="35">
        <v>2.84</v>
      </c>
      <c r="I54" s="36">
        <f t="shared" si="22"/>
        <v>10.469999999999999</v>
      </c>
      <c r="J54" s="37">
        <v>0.2666</v>
      </c>
      <c r="K54" s="38">
        <f t="shared" si="23"/>
        <v>338.24552999999997</v>
      </c>
      <c r="L54" s="38">
        <f t="shared" si="23"/>
        <v>125.90003999999999</v>
      </c>
      <c r="M54" s="38">
        <f t="shared" si="23"/>
        <v>464.14556999999991</v>
      </c>
      <c r="O54" s="33">
        <v>1</v>
      </c>
      <c r="P54" s="34">
        <f t="shared" si="25"/>
        <v>464.14556999999991</v>
      </c>
      <c r="Q54" s="27"/>
      <c r="R54" s="27"/>
      <c r="S54" s="27"/>
      <c r="T54" s="27"/>
      <c r="V54" s="28">
        <f t="shared" si="24"/>
        <v>1</v>
      </c>
      <c r="W54" s="8">
        <f t="shared" si="24"/>
        <v>464.14556999999991</v>
      </c>
    </row>
    <row r="55" spans="1:23" ht="45" hidden="1" x14ac:dyDescent="0.25">
      <c r="A55" s="6" t="s">
        <v>7</v>
      </c>
      <c r="B55" s="6" t="s">
        <v>79</v>
      </c>
      <c r="C55" s="17" t="s">
        <v>128</v>
      </c>
      <c r="D55" s="12" t="s">
        <v>80</v>
      </c>
      <c r="E55" s="13">
        <v>1.5</v>
      </c>
      <c r="F55" s="6" t="s">
        <v>42</v>
      </c>
      <c r="G55" s="35">
        <f>2.51+332.21+1.2</f>
        <v>335.91999999999996</v>
      </c>
      <c r="H55" s="35">
        <v>94.07</v>
      </c>
      <c r="I55" s="36">
        <f t="shared" si="22"/>
        <v>429.98999999999995</v>
      </c>
      <c r="J55" s="37">
        <v>0.2666</v>
      </c>
      <c r="K55" s="38">
        <f t="shared" si="23"/>
        <v>638.21440799999993</v>
      </c>
      <c r="L55" s="38">
        <f t="shared" si="23"/>
        <v>178.72359299999999</v>
      </c>
      <c r="M55" s="38">
        <f t="shared" si="23"/>
        <v>816.93800099999987</v>
      </c>
      <c r="O55" s="33">
        <v>1</v>
      </c>
      <c r="P55" s="34">
        <f t="shared" si="25"/>
        <v>816.93800099999987</v>
      </c>
      <c r="Q55" s="27"/>
      <c r="R55" s="27"/>
      <c r="S55" s="27"/>
      <c r="T55" s="27"/>
      <c r="V55" s="28">
        <f t="shared" si="24"/>
        <v>1</v>
      </c>
      <c r="W55" s="8">
        <f t="shared" si="24"/>
        <v>816.93800099999987</v>
      </c>
    </row>
    <row r="56" spans="1:23" ht="30" hidden="1" x14ac:dyDescent="0.25">
      <c r="A56" s="6" t="s">
        <v>7</v>
      </c>
      <c r="B56" s="6" t="s">
        <v>81</v>
      </c>
      <c r="C56" s="17" t="s">
        <v>129</v>
      </c>
      <c r="D56" s="12" t="s">
        <v>82</v>
      </c>
      <c r="E56" s="13">
        <v>28</v>
      </c>
      <c r="F56" s="6" t="s">
        <v>40</v>
      </c>
      <c r="G56" s="35">
        <f>0.01+21.6+0.02</f>
        <v>21.630000000000003</v>
      </c>
      <c r="H56" s="35">
        <v>8.4700000000000006</v>
      </c>
      <c r="I56" s="36">
        <f t="shared" si="22"/>
        <v>30.1</v>
      </c>
      <c r="J56" s="37">
        <v>0.2666</v>
      </c>
      <c r="K56" s="38">
        <f t="shared" si="23"/>
        <v>767.10362400000008</v>
      </c>
      <c r="L56" s="38">
        <f t="shared" si="23"/>
        <v>300.38685600000002</v>
      </c>
      <c r="M56" s="38">
        <f t="shared" si="23"/>
        <v>1067.4904799999999</v>
      </c>
      <c r="O56" s="33">
        <v>1</v>
      </c>
      <c r="P56" s="34">
        <f t="shared" si="25"/>
        <v>1067.4904799999999</v>
      </c>
      <c r="Q56" s="27"/>
      <c r="R56" s="27"/>
      <c r="S56" s="27"/>
      <c r="T56" s="27"/>
      <c r="V56" s="28">
        <f t="shared" si="24"/>
        <v>1</v>
      </c>
      <c r="W56" s="8">
        <f t="shared" si="24"/>
        <v>1067.4904799999999</v>
      </c>
    </row>
    <row r="57" spans="1:23" ht="60" hidden="1" x14ac:dyDescent="0.25">
      <c r="A57" s="6" t="s">
        <v>7</v>
      </c>
      <c r="B57" s="6" t="s">
        <v>83</v>
      </c>
      <c r="C57" s="17" t="s">
        <v>130</v>
      </c>
      <c r="D57" s="12" t="s">
        <v>84</v>
      </c>
      <c r="E57" s="13">
        <v>70</v>
      </c>
      <c r="F57" s="6" t="s">
        <v>41</v>
      </c>
      <c r="G57" s="35">
        <f>0.01+26.17</f>
        <v>26.180000000000003</v>
      </c>
      <c r="H57" s="35">
        <v>8.83</v>
      </c>
      <c r="I57" s="36">
        <f t="shared" si="22"/>
        <v>35.010000000000005</v>
      </c>
      <c r="J57" s="37">
        <v>0.2666</v>
      </c>
      <c r="K57" s="38">
        <f t="shared" si="23"/>
        <v>2321.1711599999999</v>
      </c>
      <c r="L57" s="38">
        <f t="shared" si="23"/>
        <v>782.88545999999997</v>
      </c>
      <c r="M57" s="38">
        <f t="shared" si="23"/>
        <v>3104.0566200000003</v>
      </c>
      <c r="O57" s="33">
        <v>0.5</v>
      </c>
      <c r="P57" s="34">
        <f t="shared" si="25"/>
        <v>1552.0283100000001</v>
      </c>
      <c r="Q57" s="33">
        <v>0.5</v>
      </c>
      <c r="R57" s="34">
        <f t="shared" si="25"/>
        <v>1552.0283100000001</v>
      </c>
      <c r="S57" s="27"/>
      <c r="T57" s="27"/>
      <c r="V57" s="28">
        <f t="shared" si="24"/>
        <v>1</v>
      </c>
      <c r="W57" s="8">
        <f t="shared" si="24"/>
        <v>3104.0566200000003</v>
      </c>
    </row>
    <row r="58" spans="1:23" ht="60" hidden="1" x14ac:dyDescent="0.25">
      <c r="A58" s="6" t="s">
        <v>7</v>
      </c>
      <c r="B58" s="6" t="s">
        <v>85</v>
      </c>
      <c r="C58" s="17" t="s">
        <v>131</v>
      </c>
      <c r="D58" s="12" t="s">
        <v>86</v>
      </c>
      <c r="E58" s="13">
        <v>140</v>
      </c>
      <c r="F58" s="6" t="s">
        <v>41</v>
      </c>
      <c r="G58" s="35">
        <v>1.86</v>
      </c>
      <c r="H58" s="35">
        <v>2.64</v>
      </c>
      <c r="I58" s="36">
        <f t="shared" si="22"/>
        <v>4.5</v>
      </c>
      <c r="J58" s="37">
        <v>0.2666</v>
      </c>
      <c r="K58" s="38">
        <f t="shared" si="23"/>
        <v>329.82264000000004</v>
      </c>
      <c r="L58" s="38">
        <f t="shared" si="23"/>
        <v>468.13535999999999</v>
      </c>
      <c r="M58" s="38">
        <f t="shared" si="23"/>
        <v>797.95799999999997</v>
      </c>
      <c r="O58" s="27"/>
      <c r="P58" s="27"/>
      <c r="Q58" s="33">
        <v>1</v>
      </c>
      <c r="R58" s="34">
        <f t="shared" si="25"/>
        <v>797.95799999999997</v>
      </c>
      <c r="S58" s="27"/>
      <c r="T58" s="27"/>
      <c r="V58" s="28">
        <f t="shared" si="24"/>
        <v>1</v>
      </c>
      <c r="W58" s="8">
        <f t="shared" si="24"/>
        <v>797.95799999999997</v>
      </c>
    </row>
    <row r="59" spans="1:23" ht="75" hidden="1" x14ac:dyDescent="0.25">
      <c r="A59" s="6" t="s">
        <v>7</v>
      </c>
      <c r="B59" s="6" t="s">
        <v>87</v>
      </c>
      <c r="C59" s="17" t="s">
        <v>132</v>
      </c>
      <c r="D59" s="12" t="s">
        <v>88</v>
      </c>
      <c r="E59" s="13">
        <v>11.25</v>
      </c>
      <c r="F59" s="6" t="s">
        <v>89</v>
      </c>
      <c r="G59" s="35">
        <f>8.73+8.46</f>
        <v>17.190000000000001</v>
      </c>
      <c r="H59" s="35">
        <v>12.72</v>
      </c>
      <c r="I59" s="36">
        <f t="shared" si="22"/>
        <v>29.910000000000004</v>
      </c>
      <c r="J59" s="37">
        <v>0.2666</v>
      </c>
      <c r="K59" s="38">
        <f t="shared" si="23"/>
        <v>244.94460750000002</v>
      </c>
      <c r="L59" s="38">
        <f t="shared" si="23"/>
        <v>181.25045999999998</v>
      </c>
      <c r="M59" s="38">
        <f t="shared" si="23"/>
        <v>426.19506750000005</v>
      </c>
      <c r="O59" s="27"/>
      <c r="P59" s="27"/>
      <c r="Q59" s="33">
        <v>1</v>
      </c>
      <c r="R59" s="34">
        <f t="shared" si="25"/>
        <v>426.19506750000005</v>
      </c>
      <c r="S59" s="27"/>
      <c r="T59" s="27"/>
      <c r="V59" s="28">
        <f t="shared" si="24"/>
        <v>1</v>
      </c>
      <c r="W59" s="8">
        <f t="shared" si="24"/>
        <v>426.19506750000005</v>
      </c>
    </row>
    <row r="60" spans="1:23" ht="60" hidden="1" x14ac:dyDescent="0.25">
      <c r="A60" s="6" t="s">
        <v>7</v>
      </c>
      <c r="B60" s="6" t="s">
        <v>90</v>
      </c>
      <c r="C60" s="17" t="s">
        <v>133</v>
      </c>
      <c r="D60" s="12" t="s">
        <v>91</v>
      </c>
      <c r="E60" s="13">
        <v>30</v>
      </c>
      <c r="F60" s="6" t="s">
        <v>39</v>
      </c>
      <c r="G60" s="35">
        <v>7.62</v>
      </c>
      <c r="H60" s="35">
        <v>2.89</v>
      </c>
      <c r="I60" s="36">
        <f t="shared" si="22"/>
        <v>10.51</v>
      </c>
      <c r="J60" s="37">
        <v>0.2666</v>
      </c>
      <c r="K60" s="38">
        <f t="shared" si="23"/>
        <v>289.54476</v>
      </c>
      <c r="L60" s="38">
        <f t="shared" si="23"/>
        <v>109.81422000000001</v>
      </c>
      <c r="M60" s="38">
        <f t="shared" si="23"/>
        <v>399.35897999999997</v>
      </c>
      <c r="O60" s="27"/>
      <c r="P60" s="27"/>
      <c r="Q60" s="33">
        <v>1</v>
      </c>
      <c r="R60" s="34">
        <f t="shared" si="25"/>
        <v>399.35897999999997</v>
      </c>
      <c r="S60" s="27"/>
      <c r="T60" s="27"/>
      <c r="V60" s="28">
        <f t="shared" si="24"/>
        <v>1</v>
      </c>
      <c r="W60" s="8">
        <f t="shared" si="24"/>
        <v>399.35897999999997</v>
      </c>
    </row>
    <row r="61" spans="1:23" ht="60" hidden="1" x14ac:dyDescent="0.25">
      <c r="A61" s="6" t="s">
        <v>7</v>
      </c>
      <c r="B61" s="6" t="s">
        <v>92</v>
      </c>
      <c r="C61" s="17" t="s">
        <v>134</v>
      </c>
      <c r="D61" s="12" t="s">
        <v>93</v>
      </c>
      <c r="E61" s="13">
        <v>0.9</v>
      </c>
      <c r="F61" s="6" t="s">
        <v>42</v>
      </c>
      <c r="G61" s="35">
        <f>1.17+294.14+0.44</f>
        <v>295.75</v>
      </c>
      <c r="H61" s="35">
        <v>95.44</v>
      </c>
      <c r="I61" s="36">
        <f t="shared" si="22"/>
        <v>391.19</v>
      </c>
      <c r="J61" s="37">
        <v>0.2666</v>
      </c>
      <c r="K61" s="38">
        <f t="shared" si="23"/>
        <v>337.13725499999998</v>
      </c>
      <c r="L61" s="38">
        <f t="shared" si="23"/>
        <v>108.79587359999999</v>
      </c>
      <c r="M61" s="38">
        <f t="shared" si="23"/>
        <v>445.93312860000003</v>
      </c>
      <c r="O61" s="27"/>
      <c r="P61" s="27"/>
      <c r="Q61" s="33">
        <v>1</v>
      </c>
      <c r="R61" s="34">
        <f t="shared" si="25"/>
        <v>445.93312860000003</v>
      </c>
      <c r="S61" s="27"/>
      <c r="T61" s="27"/>
      <c r="V61" s="28">
        <f t="shared" si="24"/>
        <v>1</v>
      </c>
      <c r="W61" s="8">
        <f t="shared" si="24"/>
        <v>445.93312860000003</v>
      </c>
    </row>
    <row r="62" spans="1:23" ht="45" hidden="1" x14ac:dyDescent="0.25">
      <c r="A62" s="6" t="s">
        <v>7</v>
      </c>
      <c r="B62" s="6" t="s">
        <v>94</v>
      </c>
      <c r="C62" s="17" t="s">
        <v>135</v>
      </c>
      <c r="D62" s="12" t="s">
        <v>95</v>
      </c>
      <c r="E62" s="13">
        <v>1</v>
      </c>
      <c r="F62" s="6" t="s">
        <v>42</v>
      </c>
      <c r="G62" s="35">
        <f>0.54+191.11+0.52</f>
        <v>192.17000000000002</v>
      </c>
      <c r="H62" s="35">
        <v>44.74</v>
      </c>
      <c r="I62" s="36">
        <f t="shared" si="22"/>
        <v>236.91000000000003</v>
      </c>
      <c r="J62" s="37">
        <v>0.2666</v>
      </c>
      <c r="K62" s="38">
        <f t="shared" si="23"/>
        <v>243.402522</v>
      </c>
      <c r="L62" s="38">
        <f t="shared" si="23"/>
        <v>56.667684000000001</v>
      </c>
      <c r="M62" s="38">
        <f t="shared" si="23"/>
        <v>300.07020600000004</v>
      </c>
      <c r="O62" s="27"/>
      <c r="P62" s="27"/>
      <c r="Q62" s="33">
        <v>1</v>
      </c>
      <c r="R62" s="34">
        <f t="shared" si="25"/>
        <v>300.07020600000004</v>
      </c>
      <c r="S62" s="27"/>
      <c r="T62" s="27"/>
      <c r="V62" s="28">
        <f t="shared" si="24"/>
        <v>1</v>
      </c>
      <c r="W62" s="8">
        <f t="shared" si="24"/>
        <v>300.07020600000004</v>
      </c>
    </row>
    <row r="63" spans="1:23" ht="60" hidden="1" x14ac:dyDescent="0.25">
      <c r="A63" s="6" t="s">
        <v>7</v>
      </c>
      <c r="B63" s="6" t="s">
        <v>96</v>
      </c>
      <c r="C63" s="17" t="s">
        <v>136</v>
      </c>
      <c r="D63" s="12" t="s">
        <v>97</v>
      </c>
      <c r="E63" s="13">
        <v>140</v>
      </c>
      <c r="F63" s="6" t="s">
        <v>89</v>
      </c>
      <c r="G63" s="35">
        <f>0.02+15.13</f>
        <v>15.15</v>
      </c>
      <c r="H63" s="35">
        <v>11.34</v>
      </c>
      <c r="I63" s="36">
        <f t="shared" si="22"/>
        <v>26.490000000000002</v>
      </c>
      <c r="J63" s="37">
        <v>0.2666</v>
      </c>
      <c r="K63" s="38">
        <f t="shared" si="23"/>
        <v>2686.4585999999999</v>
      </c>
      <c r="L63" s="38">
        <f t="shared" si="23"/>
        <v>2010.8541599999999</v>
      </c>
      <c r="M63" s="38">
        <f t="shared" si="23"/>
        <v>4697.3127600000007</v>
      </c>
      <c r="O63" s="27"/>
      <c r="P63" s="27"/>
      <c r="Q63" s="33">
        <v>1</v>
      </c>
      <c r="R63" s="34">
        <f t="shared" si="25"/>
        <v>4697.3127600000007</v>
      </c>
      <c r="S63" s="27"/>
      <c r="T63" s="27"/>
      <c r="V63" s="28">
        <f t="shared" si="24"/>
        <v>1</v>
      </c>
      <c r="W63" s="8">
        <f t="shared" si="24"/>
        <v>4697.3127600000007</v>
      </c>
    </row>
    <row r="64" spans="1:23" ht="30" hidden="1" x14ac:dyDescent="0.25">
      <c r="A64" s="6" t="s">
        <v>7</v>
      </c>
      <c r="B64" s="6" t="s">
        <v>98</v>
      </c>
      <c r="C64" s="17" t="s">
        <v>137</v>
      </c>
      <c r="D64" s="12" t="s">
        <v>99</v>
      </c>
      <c r="E64" s="13">
        <v>140</v>
      </c>
      <c r="F64" s="6" t="s">
        <v>41</v>
      </c>
      <c r="G64" s="35">
        <v>1.26</v>
      </c>
      <c r="H64" s="35">
        <v>0.61</v>
      </c>
      <c r="I64" s="36">
        <f t="shared" si="22"/>
        <v>1.87</v>
      </c>
      <c r="J64" s="37">
        <v>0.2666</v>
      </c>
      <c r="K64" s="38">
        <f t="shared" si="23"/>
        <v>223.42823999999999</v>
      </c>
      <c r="L64" s="38">
        <f t="shared" si="23"/>
        <v>108.16763999999999</v>
      </c>
      <c r="M64" s="38">
        <f t="shared" si="23"/>
        <v>331.59588000000002</v>
      </c>
      <c r="O64" s="27"/>
      <c r="P64" s="27"/>
      <c r="Q64" s="27"/>
      <c r="R64" s="27"/>
      <c r="S64" s="33">
        <v>1</v>
      </c>
      <c r="T64" s="34">
        <f t="shared" ref="T64:T69" si="26">S64*$M64</f>
        <v>331.59588000000002</v>
      </c>
      <c r="V64" s="28">
        <f t="shared" si="24"/>
        <v>1</v>
      </c>
      <c r="W64" s="8">
        <f t="shared" si="24"/>
        <v>331.59588000000002</v>
      </c>
    </row>
    <row r="65" spans="1:23" ht="30" hidden="1" x14ac:dyDescent="0.25">
      <c r="A65" s="6" t="s">
        <v>7</v>
      </c>
      <c r="B65" s="6" t="s">
        <v>98</v>
      </c>
      <c r="C65" s="17" t="s">
        <v>138</v>
      </c>
      <c r="D65" s="12" t="s">
        <v>100</v>
      </c>
      <c r="E65" s="13">
        <v>140</v>
      </c>
      <c r="F65" s="6" t="s">
        <v>41</v>
      </c>
      <c r="G65" s="35">
        <f>0.02+11.25</f>
        <v>11.27</v>
      </c>
      <c r="H65" s="35">
        <v>8.31</v>
      </c>
      <c r="I65" s="36">
        <f t="shared" si="22"/>
        <v>19.579999999999998</v>
      </c>
      <c r="J65" s="37">
        <v>0.2666</v>
      </c>
      <c r="K65" s="38">
        <f t="shared" ref="K65:M69" si="27">$E65*G65*(1+$J65)</f>
        <v>1998.44148</v>
      </c>
      <c r="L65" s="38">
        <f t="shared" si="27"/>
        <v>1473.5624400000002</v>
      </c>
      <c r="M65" s="38">
        <f t="shared" si="27"/>
        <v>3472.0039199999997</v>
      </c>
      <c r="O65" s="27"/>
      <c r="P65" s="27"/>
      <c r="Q65" s="27"/>
      <c r="R65" s="27"/>
      <c r="S65" s="33">
        <v>1</v>
      </c>
      <c r="T65" s="34">
        <f t="shared" si="26"/>
        <v>3472.0039199999997</v>
      </c>
      <c r="V65" s="28">
        <f t="shared" si="24"/>
        <v>1</v>
      </c>
      <c r="W65" s="8">
        <f t="shared" si="24"/>
        <v>3472.0039199999997</v>
      </c>
    </row>
    <row r="66" spans="1:23" ht="30" hidden="1" x14ac:dyDescent="0.25">
      <c r="A66" s="6" t="s">
        <v>7</v>
      </c>
      <c r="B66" s="6" t="s">
        <v>101</v>
      </c>
      <c r="C66" s="17" t="s">
        <v>139</v>
      </c>
      <c r="D66" s="12" t="s">
        <v>102</v>
      </c>
      <c r="E66" s="13">
        <v>140</v>
      </c>
      <c r="F66" s="6" t="s">
        <v>42</v>
      </c>
      <c r="G66" s="35">
        <v>7.02</v>
      </c>
      <c r="H66" s="35">
        <v>2.93</v>
      </c>
      <c r="I66" s="36">
        <f t="shared" si="22"/>
        <v>9.9499999999999993</v>
      </c>
      <c r="J66" s="37">
        <v>0.2666</v>
      </c>
      <c r="K66" s="38">
        <f t="shared" si="27"/>
        <v>1244.81448</v>
      </c>
      <c r="L66" s="38">
        <f t="shared" si="27"/>
        <v>519.55932000000007</v>
      </c>
      <c r="M66" s="38">
        <f t="shared" si="27"/>
        <v>1764.3737999999998</v>
      </c>
      <c r="O66" s="27"/>
      <c r="P66" s="27"/>
      <c r="Q66" s="27"/>
      <c r="R66" s="27"/>
      <c r="S66" s="33">
        <v>1</v>
      </c>
      <c r="T66" s="34">
        <f t="shared" si="26"/>
        <v>1764.3737999999998</v>
      </c>
      <c r="V66" s="28">
        <f t="shared" si="24"/>
        <v>1</v>
      </c>
      <c r="W66" s="8">
        <f t="shared" si="24"/>
        <v>1764.3737999999998</v>
      </c>
    </row>
    <row r="67" spans="1:23" hidden="1" x14ac:dyDescent="0.25">
      <c r="A67" s="6" t="s">
        <v>7</v>
      </c>
      <c r="B67" s="6" t="s">
        <v>103</v>
      </c>
      <c r="C67" s="17" t="s">
        <v>140</v>
      </c>
      <c r="D67" s="12" t="s">
        <v>104</v>
      </c>
      <c r="E67" s="13">
        <v>11</v>
      </c>
      <c r="F67" s="6" t="s">
        <v>41</v>
      </c>
      <c r="G67" s="35">
        <f>0.14+373.6</f>
        <v>373.74</v>
      </c>
      <c r="H67" s="35">
        <v>31.97</v>
      </c>
      <c r="I67" s="36">
        <f t="shared" si="22"/>
        <v>405.71000000000004</v>
      </c>
      <c r="J67" s="37">
        <v>0.2666</v>
      </c>
      <c r="K67" s="38">
        <f t="shared" si="27"/>
        <v>5207.1699239999998</v>
      </c>
      <c r="L67" s="38">
        <f t="shared" si="27"/>
        <v>445.42522199999991</v>
      </c>
      <c r="M67" s="38">
        <f t="shared" si="27"/>
        <v>5652.5951460000006</v>
      </c>
      <c r="O67" s="27"/>
      <c r="P67" s="27"/>
      <c r="Q67" s="27"/>
      <c r="R67" s="27"/>
      <c r="S67" s="33">
        <v>1</v>
      </c>
      <c r="T67" s="34">
        <f t="shared" si="26"/>
        <v>5652.5951460000006</v>
      </c>
      <c r="V67" s="28">
        <f t="shared" si="24"/>
        <v>1</v>
      </c>
      <c r="W67" s="8">
        <f t="shared" si="24"/>
        <v>5652.5951460000006</v>
      </c>
    </row>
    <row r="68" spans="1:23" ht="45" hidden="1" x14ac:dyDescent="0.25">
      <c r="A68" s="6" t="s">
        <v>7</v>
      </c>
      <c r="B68" s="6" t="s">
        <v>114</v>
      </c>
      <c r="C68" s="17" t="s">
        <v>115</v>
      </c>
      <c r="D68" s="12" t="s">
        <v>45</v>
      </c>
      <c r="E68" s="13">
        <v>3</v>
      </c>
      <c r="F68" s="6" t="s">
        <v>46</v>
      </c>
      <c r="G68" s="35">
        <v>117.13</v>
      </c>
      <c r="H68" s="35">
        <v>0</v>
      </c>
      <c r="I68" s="36">
        <f t="shared" si="22"/>
        <v>117.13</v>
      </c>
      <c r="J68" s="37">
        <v>0.2666</v>
      </c>
      <c r="K68" s="38">
        <f t="shared" si="27"/>
        <v>445.07057399999997</v>
      </c>
      <c r="L68" s="38">
        <f t="shared" si="27"/>
        <v>0</v>
      </c>
      <c r="M68" s="38">
        <f t="shared" si="27"/>
        <v>445.07057399999997</v>
      </c>
      <c r="O68" s="27"/>
      <c r="P68" s="27"/>
      <c r="Q68" s="27"/>
      <c r="R68" s="27"/>
      <c r="S68" s="33">
        <v>1</v>
      </c>
      <c r="T68" s="34">
        <f t="shared" si="26"/>
        <v>445.07057399999997</v>
      </c>
      <c r="V68" s="28">
        <f t="shared" si="24"/>
        <v>1</v>
      </c>
      <c r="W68" s="8">
        <f t="shared" si="24"/>
        <v>445.07057399999997</v>
      </c>
    </row>
    <row r="69" spans="1:23" ht="30" hidden="1" x14ac:dyDescent="0.25">
      <c r="A69" s="41" t="s">
        <v>7</v>
      </c>
      <c r="B69" s="41" t="s">
        <v>116</v>
      </c>
      <c r="C69" s="42" t="s">
        <v>117</v>
      </c>
      <c r="D69" s="12" t="s">
        <v>118</v>
      </c>
      <c r="E69" s="13">
        <v>3</v>
      </c>
      <c r="F69" s="6" t="s">
        <v>46</v>
      </c>
      <c r="G69" s="35">
        <v>3.76</v>
      </c>
      <c r="H69" s="35">
        <v>17.82</v>
      </c>
      <c r="I69" s="36">
        <f t="shared" si="22"/>
        <v>21.58</v>
      </c>
      <c r="J69" s="37">
        <v>0.2666</v>
      </c>
      <c r="K69" s="38">
        <f t="shared" si="27"/>
        <v>14.287247999999998</v>
      </c>
      <c r="L69" s="38">
        <f t="shared" si="27"/>
        <v>67.712435999999997</v>
      </c>
      <c r="M69" s="38">
        <f t="shared" si="27"/>
        <v>81.999683999999988</v>
      </c>
      <c r="O69" s="27"/>
      <c r="P69" s="27"/>
      <c r="Q69" s="27"/>
      <c r="R69" s="27"/>
      <c r="S69" s="33">
        <v>1</v>
      </c>
      <c r="T69" s="34">
        <f t="shared" si="26"/>
        <v>81.999683999999988</v>
      </c>
      <c r="V69" s="28">
        <f t="shared" si="24"/>
        <v>1</v>
      </c>
      <c r="W69" s="8">
        <f t="shared" si="24"/>
        <v>81.999683999999988</v>
      </c>
    </row>
    <row r="70" spans="1:23" x14ac:dyDescent="0.25">
      <c r="I70" s="31" t="s">
        <v>35</v>
      </c>
      <c r="J70" s="31"/>
      <c r="K70" s="32">
        <f t="shared" ref="K70:L70" si="28">SUM(K49:K69)</f>
        <v>18763.5738915</v>
      </c>
      <c r="L70" s="32">
        <f t="shared" si="28"/>
        <v>9180.9133686000005</v>
      </c>
      <c r="M70" s="32">
        <f>SUM(M49:M69)</f>
        <v>27944.487260099999</v>
      </c>
      <c r="P70" s="32">
        <f>SUM(P49:P69)</f>
        <v>7577.9918039999993</v>
      </c>
      <c r="R70" s="32">
        <f>SUM(R49:R69)</f>
        <v>8618.8564521000008</v>
      </c>
      <c r="T70" s="32">
        <f>SUM(T49:T69)</f>
        <v>11747.639004000001</v>
      </c>
    </row>
    <row r="71" spans="1:23" ht="15.75" thickBot="1" x14ac:dyDescent="0.3"/>
    <row r="72" spans="1:23" ht="15.75" thickBot="1" x14ac:dyDescent="0.3">
      <c r="A72" s="64" t="s">
        <v>62</v>
      </c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6"/>
    </row>
    <row r="73" spans="1:23" x14ac:dyDescent="0.25">
      <c r="A73" s="59" t="s">
        <v>48</v>
      </c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60"/>
      <c r="O73" s="59"/>
      <c r="P73" s="59"/>
      <c r="Q73" s="59"/>
      <c r="R73" s="59"/>
      <c r="S73" s="59"/>
      <c r="T73" s="59"/>
    </row>
    <row r="74" spans="1:23" hidden="1" x14ac:dyDescent="0.25">
      <c r="A74" s="2" t="s">
        <v>1</v>
      </c>
      <c r="B74" s="3" t="s">
        <v>2</v>
      </c>
      <c r="C74" s="3" t="s">
        <v>3</v>
      </c>
      <c r="D74" s="3" t="s">
        <v>4</v>
      </c>
      <c r="E74" s="4" t="s">
        <v>5</v>
      </c>
      <c r="F74" s="3" t="s">
        <v>6</v>
      </c>
      <c r="G74" s="3" t="s">
        <v>28</v>
      </c>
      <c r="H74" s="3" t="s">
        <v>29</v>
      </c>
      <c r="I74" s="5" t="s">
        <v>30</v>
      </c>
      <c r="J74" s="5" t="s">
        <v>31</v>
      </c>
      <c r="K74" s="3" t="s">
        <v>32</v>
      </c>
      <c r="L74" s="3" t="s">
        <v>33</v>
      </c>
      <c r="M74" s="5" t="s">
        <v>34</v>
      </c>
    </row>
    <row r="75" spans="1:23" hidden="1" x14ac:dyDescent="0.25">
      <c r="A75" s="14" t="s">
        <v>14</v>
      </c>
      <c r="B75" s="14" t="s">
        <v>8</v>
      </c>
      <c r="C75" s="14" t="s">
        <v>15</v>
      </c>
      <c r="D75" s="15" t="s">
        <v>16</v>
      </c>
      <c r="E75" s="13">
        <v>1</v>
      </c>
      <c r="F75" s="7" t="s">
        <v>105</v>
      </c>
      <c r="G75" s="35">
        <v>218.54</v>
      </c>
      <c r="H75" s="35">
        <v>0</v>
      </c>
      <c r="I75" s="36">
        <f t="shared" ref="I75:I77" si="29">G75+H75</f>
        <v>218.54</v>
      </c>
      <c r="J75" s="37">
        <v>0.2666</v>
      </c>
      <c r="K75" s="38">
        <f t="shared" ref="K75:M77" si="30">$E75*G75*(1+$J75)</f>
        <v>276.80276399999997</v>
      </c>
      <c r="L75" s="38">
        <f t="shared" si="30"/>
        <v>0</v>
      </c>
      <c r="M75" s="38">
        <f t="shared" si="30"/>
        <v>276.80276399999997</v>
      </c>
      <c r="O75" s="33">
        <v>1</v>
      </c>
      <c r="P75" s="34">
        <f t="shared" ref="P75:P77" si="31">O75*$M75</f>
        <v>276.80276399999997</v>
      </c>
      <c r="Q75" s="27"/>
      <c r="R75" s="27"/>
      <c r="S75" s="27"/>
      <c r="T75" s="27"/>
      <c r="V75" s="28">
        <f t="shared" ref="V75:W77" si="32">O75+Q75+S75</f>
        <v>1</v>
      </c>
      <c r="W75" s="8">
        <f t="shared" si="32"/>
        <v>276.80276399999997</v>
      </c>
    </row>
    <row r="76" spans="1:23" ht="30" hidden="1" x14ac:dyDescent="0.25">
      <c r="A76" s="6" t="s">
        <v>7</v>
      </c>
      <c r="B76" s="16" t="s">
        <v>9</v>
      </c>
      <c r="C76" s="14" t="s">
        <v>106</v>
      </c>
      <c r="D76" s="15" t="s">
        <v>17</v>
      </c>
      <c r="E76" s="13">
        <v>20</v>
      </c>
      <c r="F76" s="7" t="s">
        <v>46</v>
      </c>
      <c r="G76" s="35">
        <v>0.4</v>
      </c>
      <c r="H76" s="35">
        <v>70.260000000000005</v>
      </c>
      <c r="I76" s="36">
        <f t="shared" si="29"/>
        <v>70.660000000000011</v>
      </c>
      <c r="J76" s="37">
        <v>0.2666</v>
      </c>
      <c r="K76" s="38">
        <f t="shared" si="30"/>
        <v>10.1328</v>
      </c>
      <c r="L76" s="38">
        <f t="shared" si="30"/>
        <v>1779.8263199999999</v>
      </c>
      <c r="M76" s="38">
        <f t="shared" si="30"/>
        <v>1789.9591200000002</v>
      </c>
      <c r="O76" s="33">
        <v>1</v>
      </c>
      <c r="P76" s="34">
        <f t="shared" si="31"/>
        <v>1789.9591200000002</v>
      </c>
      <c r="Q76" s="27"/>
      <c r="R76" s="27"/>
      <c r="S76" s="27"/>
      <c r="T76" s="27"/>
      <c r="V76" s="28">
        <f t="shared" si="32"/>
        <v>1</v>
      </c>
      <c r="W76" s="8">
        <f t="shared" si="32"/>
        <v>1789.9591200000002</v>
      </c>
    </row>
    <row r="77" spans="1:23" ht="30" hidden="1" x14ac:dyDescent="0.25">
      <c r="A77" s="6" t="s">
        <v>7</v>
      </c>
      <c r="B77" s="16" t="s">
        <v>10</v>
      </c>
      <c r="C77" s="14" t="s">
        <v>107</v>
      </c>
      <c r="D77" s="15" t="s">
        <v>18</v>
      </c>
      <c r="E77" s="13">
        <v>40</v>
      </c>
      <c r="F77" s="7" t="s">
        <v>46</v>
      </c>
      <c r="G77" s="35">
        <v>2.99</v>
      </c>
      <c r="H77" s="35">
        <v>19.010000000000002</v>
      </c>
      <c r="I77" s="36">
        <f t="shared" si="29"/>
        <v>22</v>
      </c>
      <c r="J77" s="37">
        <v>0.2666</v>
      </c>
      <c r="K77" s="38">
        <f t="shared" si="30"/>
        <v>151.48536000000001</v>
      </c>
      <c r="L77" s="38">
        <f t="shared" si="30"/>
        <v>963.12264000000005</v>
      </c>
      <c r="M77" s="38">
        <f t="shared" si="30"/>
        <v>1114.6079999999999</v>
      </c>
      <c r="O77" s="33">
        <v>1</v>
      </c>
      <c r="P77" s="34">
        <f t="shared" si="31"/>
        <v>1114.6079999999999</v>
      </c>
      <c r="Q77" s="27"/>
      <c r="R77" s="27"/>
      <c r="S77" s="27"/>
      <c r="T77" s="27"/>
      <c r="V77" s="28">
        <f t="shared" si="32"/>
        <v>1</v>
      </c>
      <c r="W77" s="8">
        <f t="shared" si="32"/>
        <v>1114.6079999999999</v>
      </c>
    </row>
    <row r="78" spans="1:23" x14ac:dyDescent="0.25">
      <c r="A78" s="18"/>
      <c r="B78" s="19"/>
      <c r="C78" s="20"/>
      <c r="D78" s="21"/>
      <c r="E78" s="22"/>
      <c r="F78" s="23"/>
      <c r="G78" s="23"/>
      <c r="H78" s="23"/>
      <c r="I78" s="31" t="s">
        <v>35</v>
      </c>
      <c r="J78" s="31"/>
      <c r="K78" s="32">
        <f t="shared" ref="K78:L78" si="33">SUM(K75:K77)</f>
        <v>438.42092399999996</v>
      </c>
      <c r="L78" s="32">
        <f t="shared" si="33"/>
        <v>2742.9489599999997</v>
      </c>
      <c r="M78" s="32">
        <f>SUM(M75:M77)</f>
        <v>3181.3698839999997</v>
      </c>
      <c r="P78" s="32">
        <f>SUM(P75:P77)</f>
        <v>3181.3698839999997</v>
      </c>
      <c r="R78" s="32">
        <f>SUM(R75:R77)</f>
        <v>0</v>
      </c>
      <c r="T78" s="32">
        <f>SUM(T75:T77)</f>
        <v>0</v>
      </c>
    </row>
    <row r="79" spans="1:23" ht="15.75" thickBot="1" x14ac:dyDescent="0.3"/>
    <row r="80" spans="1:23" ht="15.75" thickBot="1" x14ac:dyDescent="0.3">
      <c r="A80" s="64" t="s">
        <v>63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6"/>
    </row>
    <row r="81" spans="1:23" x14ac:dyDescent="0.25">
      <c r="A81" s="59" t="s">
        <v>49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60"/>
      <c r="O81" s="59"/>
      <c r="P81" s="59"/>
      <c r="Q81" s="59"/>
      <c r="R81" s="59"/>
      <c r="S81" s="59"/>
      <c r="T81" s="59"/>
    </row>
    <row r="82" spans="1:23" hidden="1" x14ac:dyDescent="0.25">
      <c r="A82" s="9" t="s">
        <v>1</v>
      </c>
      <c r="B82" s="10" t="s">
        <v>2</v>
      </c>
      <c r="C82" s="10" t="s">
        <v>3</v>
      </c>
      <c r="D82" s="11" t="s">
        <v>4</v>
      </c>
      <c r="E82" s="4" t="s">
        <v>5</v>
      </c>
      <c r="F82" s="3" t="s">
        <v>6</v>
      </c>
      <c r="G82" s="3" t="s">
        <v>28</v>
      </c>
      <c r="H82" s="3" t="s">
        <v>29</v>
      </c>
      <c r="I82" s="5" t="s">
        <v>30</v>
      </c>
      <c r="J82" s="5" t="s">
        <v>31</v>
      </c>
      <c r="K82" s="3" t="s">
        <v>32</v>
      </c>
      <c r="L82" s="3" t="s">
        <v>33</v>
      </c>
      <c r="M82" s="5" t="s">
        <v>34</v>
      </c>
    </row>
    <row r="83" spans="1:23" hidden="1" x14ac:dyDescent="0.25">
      <c r="A83" s="6" t="s">
        <v>7</v>
      </c>
      <c r="B83" s="6" t="s">
        <v>8</v>
      </c>
      <c r="C83" s="17" t="s">
        <v>141</v>
      </c>
      <c r="D83" s="12" t="s">
        <v>50</v>
      </c>
      <c r="E83" s="13">
        <v>20</v>
      </c>
      <c r="F83" s="6" t="s">
        <v>105</v>
      </c>
      <c r="G83" s="35">
        <v>19.11</v>
      </c>
      <c r="H83" s="35">
        <v>4.5199999999999996</v>
      </c>
      <c r="I83" s="36">
        <f t="shared" ref="I83:I89" si="34">G83+H83</f>
        <v>23.63</v>
      </c>
      <c r="J83" s="37">
        <v>0.2666</v>
      </c>
      <c r="K83" s="38">
        <f t="shared" ref="K83:M89" si="35">$E83*G83*(1+$J83)</f>
        <v>484.09451999999999</v>
      </c>
      <c r="L83" s="38">
        <f t="shared" si="35"/>
        <v>114.50063999999999</v>
      </c>
      <c r="M83" s="38">
        <f t="shared" si="35"/>
        <v>598.59515999999996</v>
      </c>
      <c r="O83" s="33">
        <v>1</v>
      </c>
      <c r="P83" s="34">
        <f t="shared" ref="P83:P89" si="36">O83*$M83</f>
        <v>598.59515999999996</v>
      </c>
      <c r="Q83" s="27"/>
      <c r="R83" s="27"/>
      <c r="S83" s="27"/>
      <c r="T83" s="27"/>
      <c r="V83" s="28">
        <f t="shared" ref="V83:W89" si="37">O83+Q83+S83</f>
        <v>1</v>
      </c>
      <c r="W83" s="8">
        <f t="shared" si="37"/>
        <v>598.59515999999996</v>
      </c>
    </row>
    <row r="84" spans="1:23" hidden="1" x14ac:dyDescent="0.25">
      <c r="A84" s="6" t="s">
        <v>7</v>
      </c>
      <c r="B84" s="6" t="s">
        <v>9</v>
      </c>
      <c r="C84" s="17" t="s">
        <v>142</v>
      </c>
      <c r="D84" s="12" t="s">
        <v>51</v>
      </c>
      <c r="E84" s="13">
        <v>100</v>
      </c>
      <c r="F84" s="6" t="s">
        <v>105</v>
      </c>
      <c r="G84" s="35">
        <v>26.78</v>
      </c>
      <c r="H84" s="35">
        <v>6.65</v>
      </c>
      <c r="I84" s="36">
        <f t="shared" si="34"/>
        <v>33.43</v>
      </c>
      <c r="J84" s="37">
        <v>0.2666</v>
      </c>
      <c r="K84" s="38">
        <f t="shared" si="35"/>
        <v>3391.9548</v>
      </c>
      <c r="L84" s="38">
        <f t="shared" si="35"/>
        <v>842.28899999999999</v>
      </c>
      <c r="M84" s="38">
        <f t="shared" si="35"/>
        <v>4234.2438000000002</v>
      </c>
      <c r="O84" s="33">
        <v>1</v>
      </c>
      <c r="P84" s="34">
        <f t="shared" si="36"/>
        <v>4234.2438000000002</v>
      </c>
      <c r="Q84" s="27"/>
      <c r="R84" s="27"/>
      <c r="S84" s="27"/>
      <c r="T84" s="27"/>
      <c r="V84" s="28">
        <f t="shared" si="37"/>
        <v>1</v>
      </c>
      <c r="W84" s="8">
        <f t="shared" si="37"/>
        <v>4234.2438000000002</v>
      </c>
    </row>
    <row r="85" spans="1:23" ht="30" hidden="1" x14ac:dyDescent="0.25">
      <c r="A85" s="6" t="s">
        <v>7</v>
      </c>
      <c r="B85" s="6" t="s">
        <v>10</v>
      </c>
      <c r="C85" s="17" t="s">
        <v>143</v>
      </c>
      <c r="D85" s="12" t="s">
        <v>52</v>
      </c>
      <c r="E85" s="13">
        <v>8</v>
      </c>
      <c r="F85" s="6" t="s">
        <v>105</v>
      </c>
      <c r="G85" s="35">
        <v>6.54</v>
      </c>
      <c r="H85" s="35">
        <v>6.5</v>
      </c>
      <c r="I85" s="36">
        <f t="shared" si="34"/>
        <v>13.04</v>
      </c>
      <c r="J85" s="37">
        <v>0.2666</v>
      </c>
      <c r="K85" s="38">
        <f t="shared" si="35"/>
        <v>66.268512000000001</v>
      </c>
      <c r="L85" s="38">
        <f t="shared" si="35"/>
        <v>65.863199999999992</v>
      </c>
      <c r="M85" s="38">
        <f t="shared" si="35"/>
        <v>132.13171199999999</v>
      </c>
      <c r="O85" s="33">
        <v>1</v>
      </c>
      <c r="P85" s="34">
        <f t="shared" si="36"/>
        <v>132.13171199999999</v>
      </c>
      <c r="Q85" s="27"/>
      <c r="R85" s="27"/>
      <c r="S85" s="27"/>
      <c r="T85" s="27"/>
      <c r="V85" s="28">
        <f t="shared" si="37"/>
        <v>1</v>
      </c>
      <c r="W85" s="8">
        <f t="shared" si="37"/>
        <v>132.13171199999999</v>
      </c>
    </row>
    <row r="86" spans="1:23" ht="30" hidden="1" x14ac:dyDescent="0.25">
      <c r="A86" s="6" t="s">
        <v>7</v>
      </c>
      <c r="B86" s="6" t="s">
        <v>11</v>
      </c>
      <c r="C86" s="17" t="s">
        <v>144</v>
      </c>
      <c r="D86" s="12" t="s">
        <v>145</v>
      </c>
      <c r="E86" s="13">
        <v>20</v>
      </c>
      <c r="F86" s="6" t="s">
        <v>40</v>
      </c>
      <c r="G86" s="35">
        <v>7.65</v>
      </c>
      <c r="H86" s="35">
        <v>4.34</v>
      </c>
      <c r="I86" s="36">
        <f t="shared" si="34"/>
        <v>11.99</v>
      </c>
      <c r="J86" s="37">
        <v>0.2666</v>
      </c>
      <c r="K86" s="38">
        <f t="shared" si="35"/>
        <v>193.78979999999999</v>
      </c>
      <c r="L86" s="38">
        <f t="shared" si="35"/>
        <v>109.94087999999999</v>
      </c>
      <c r="M86" s="38">
        <f t="shared" si="35"/>
        <v>303.73068000000001</v>
      </c>
      <c r="O86" s="33">
        <v>1</v>
      </c>
      <c r="P86" s="34">
        <f t="shared" si="36"/>
        <v>303.73068000000001</v>
      </c>
      <c r="Q86" s="27"/>
      <c r="R86" s="27"/>
      <c r="S86" s="27"/>
      <c r="T86" s="27"/>
      <c r="V86" s="28">
        <f t="shared" si="37"/>
        <v>1</v>
      </c>
      <c r="W86" s="8">
        <f t="shared" si="37"/>
        <v>303.73068000000001</v>
      </c>
    </row>
    <row r="87" spans="1:23" ht="30" hidden="1" x14ac:dyDescent="0.25">
      <c r="A87" s="6" t="s">
        <v>7</v>
      </c>
      <c r="B87" s="6" t="s">
        <v>12</v>
      </c>
      <c r="C87" s="17" t="s">
        <v>146</v>
      </c>
      <c r="D87" s="12" t="s">
        <v>53</v>
      </c>
      <c r="E87" s="13">
        <v>0.1</v>
      </c>
      <c r="F87" s="6" t="s">
        <v>123</v>
      </c>
      <c r="G87" s="35">
        <v>24.67</v>
      </c>
      <c r="H87" s="35">
        <v>0</v>
      </c>
      <c r="I87" s="36">
        <f t="shared" si="34"/>
        <v>24.67</v>
      </c>
      <c r="J87" s="37">
        <v>0.2666</v>
      </c>
      <c r="K87" s="38">
        <f t="shared" si="35"/>
        <v>3.1247022000000007</v>
      </c>
      <c r="L87" s="38">
        <f t="shared" si="35"/>
        <v>0</v>
      </c>
      <c r="M87" s="38">
        <f t="shared" si="35"/>
        <v>3.1247022000000007</v>
      </c>
      <c r="O87" s="33">
        <v>1</v>
      </c>
      <c r="P87" s="34">
        <f t="shared" si="36"/>
        <v>3.1247022000000007</v>
      </c>
      <c r="Q87" s="27"/>
      <c r="R87" s="27"/>
      <c r="S87" s="27"/>
      <c r="T87" s="27"/>
      <c r="V87" s="28">
        <f t="shared" si="37"/>
        <v>1</v>
      </c>
      <c r="W87" s="8">
        <f t="shared" si="37"/>
        <v>3.1247022000000007</v>
      </c>
    </row>
    <row r="88" spans="1:23" ht="30" hidden="1" x14ac:dyDescent="0.25">
      <c r="A88" s="6" t="s">
        <v>7</v>
      </c>
      <c r="B88" s="6" t="s">
        <v>43</v>
      </c>
      <c r="C88" s="17" t="s">
        <v>147</v>
      </c>
      <c r="D88" s="12" t="s">
        <v>54</v>
      </c>
      <c r="E88" s="13">
        <v>15</v>
      </c>
      <c r="F88" s="6" t="s">
        <v>42</v>
      </c>
      <c r="G88" s="35">
        <f>0.18+16.24</f>
        <v>16.419999999999998</v>
      </c>
      <c r="H88" s="35">
        <v>36.15</v>
      </c>
      <c r="I88" s="36">
        <f t="shared" si="34"/>
        <v>52.569999999999993</v>
      </c>
      <c r="J88" s="37">
        <v>0.2666</v>
      </c>
      <c r="K88" s="38">
        <f t="shared" si="35"/>
        <v>311.96357999999998</v>
      </c>
      <c r="L88" s="38">
        <f t="shared" si="35"/>
        <v>686.81385</v>
      </c>
      <c r="M88" s="38">
        <f t="shared" si="35"/>
        <v>998.77742999999987</v>
      </c>
      <c r="O88" s="33">
        <v>1</v>
      </c>
      <c r="P88" s="34">
        <f t="shared" si="36"/>
        <v>998.77742999999987</v>
      </c>
      <c r="Q88" s="27"/>
      <c r="R88" s="27"/>
      <c r="S88" s="27"/>
      <c r="T88" s="27"/>
      <c r="V88" s="28">
        <f t="shared" si="37"/>
        <v>1</v>
      </c>
      <c r="W88" s="8">
        <f t="shared" si="37"/>
        <v>998.77742999999987</v>
      </c>
    </row>
    <row r="89" spans="1:23" hidden="1" x14ac:dyDescent="0.25">
      <c r="A89" s="6" t="s">
        <v>7</v>
      </c>
      <c r="B89" s="6" t="s">
        <v>44</v>
      </c>
      <c r="C89" s="17" t="s">
        <v>124</v>
      </c>
      <c r="D89" s="12" t="s">
        <v>55</v>
      </c>
      <c r="E89" s="13">
        <v>15</v>
      </c>
      <c r="F89" s="6" t="s">
        <v>42</v>
      </c>
      <c r="G89" s="35">
        <f>0.11+9.82</f>
        <v>9.93</v>
      </c>
      <c r="H89" s="35">
        <v>21.94</v>
      </c>
      <c r="I89" s="36">
        <f t="shared" si="34"/>
        <v>31.87</v>
      </c>
      <c r="J89" s="37">
        <v>0.2666</v>
      </c>
      <c r="K89" s="38">
        <f t="shared" si="35"/>
        <v>188.66006999999999</v>
      </c>
      <c r="L89" s="38">
        <f t="shared" si="35"/>
        <v>416.83805999999998</v>
      </c>
      <c r="M89" s="38">
        <f t="shared" si="35"/>
        <v>605.49812999999995</v>
      </c>
      <c r="O89" s="33">
        <v>1</v>
      </c>
      <c r="P89" s="34">
        <f t="shared" si="36"/>
        <v>605.49812999999995</v>
      </c>
      <c r="Q89" s="27"/>
      <c r="R89" s="27"/>
      <c r="S89" s="27"/>
      <c r="T89" s="27"/>
      <c r="V89" s="28">
        <f t="shared" si="37"/>
        <v>1</v>
      </c>
      <c r="W89" s="8">
        <f t="shared" si="37"/>
        <v>605.49812999999995</v>
      </c>
    </row>
    <row r="90" spans="1:23" x14ac:dyDescent="0.25">
      <c r="I90" s="31" t="s">
        <v>35</v>
      </c>
      <c r="J90" s="31"/>
      <c r="K90" s="32">
        <f t="shared" ref="K90:L90" si="38">SUM(K83:K89)</f>
        <v>4639.8559841999995</v>
      </c>
      <c r="L90" s="32">
        <f t="shared" si="38"/>
        <v>2236.2456299999999</v>
      </c>
      <c r="M90" s="32">
        <f>SUM(M83:M89)</f>
        <v>6876.1016141999999</v>
      </c>
      <c r="P90" s="32">
        <f>SUM(P83:P89)</f>
        <v>6876.1016141999999</v>
      </c>
      <c r="R90" s="32">
        <f>SUM(R83:R89)</f>
        <v>0</v>
      </c>
      <c r="T90" s="32">
        <f>SUM(T83:T89)</f>
        <v>0</v>
      </c>
    </row>
    <row r="92" spans="1:23" x14ac:dyDescent="0.25">
      <c r="D92" s="54" t="s">
        <v>37</v>
      </c>
      <c r="L92" s="29" t="s">
        <v>37</v>
      </c>
      <c r="M92" s="30">
        <f>SUM(M10:M90)/2</f>
        <v>217664.37866041998</v>
      </c>
      <c r="O92" s="56">
        <f>P92/$M$92</f>
        <v>0.13552466774704314</v>
      </c>
      <c r="P92" s="30">
        <f>SUM(P10:P90)/2</f>
        <v>29498.892598320002</v>
      </c>
      <c r="Q92" s="56">
        <f>R92/$M$92</f>
        <v>0.23243233079506032</v>
      </c>
      <c r="R92" s="30">
        <f>SUM(R10:R90)/2</f>
        <v>50592.238863100007</v>
      </c>
      <c r="S92" s="56">
        <f>T92/$M$92</f>
        <v>0.63204300145789671</v>
      </c>
      <c r="T92" s="30">
        <f>SUM(T10:T90)/2</f>
        <v>137573.247199</v>
      </c>
      <c r="W92" s="58">
        <f>SUM(W10:W90)</f>
        <v>217664.37866042007</v>
      </c>
    </row>
    <row r="93" spans="1:23" x14ac:dyDescent="0.25">
      <c r="D93" s="55"/>
    </row>
    <row r="94" spans="1:23" x14ac:dyDescent="0.25">
      <c r="D94" s="49" t="s">
        <v>152</v>
      </c>
      <c r="O94" s="56">
        <f>P94/$M$92</f>
        <v>0.13552466774704314</v>
      </c>
      <c r="P94" s="57">
        <f>P92</f>
        <v>29498.892598320002</v>
      </c>
      <c r="Q94" s="56">
        <f>R94/$M$92</f>
        <v>0.36795699854210345</v>
      </c>
      <c r="R94" s="57">
        <f>R92+P94</f>
        <v>80091.131461420009</v>
      </c>
      <c r="S94" s="56">
        <f>T94/$M$92</f>
        <v>1.0000000000000002</v>
      </c>
      <c r="T94" s="57">
        <f>T92+R94</f>
        <v>217664.37866042001</v>
      </c>
    </row>
  </sheetData>
  <mergeCells count="27">
    <mergeCell ref="A81:M81"/>
    <mergeCell ref="O81:T81"/>
    <mergeCell ref="A47:M47"/>
    <mergeCell ref="O47:T47"/>
    <mergeCell ref="A72:M72"/>
    <mergeCell ref="A73:M73"/>
    <mergeCell ref="O73:T73"/>
    <mergeCell ref="A80:M80"/>
    <mergeCell ref="A26:M26"/>
    <mergeCell ref="O26:T26"/>
    <mergeCell ref="A33:M33"/>
    <mergeCell ref="A34:M34"/>
    <mergeCell ref="O34:T34"/>
    <mergeCell ref="A41:M41"/>
    <mergeCell ref="O41:T41"/>
    <mergeCell ref="A8:M8"/>
    <mergeCell ref="O8:T8"/>
    <mergeCell ref="A15:M15"/>
    <mergeCell ref="A16:M16"/>
    <mergeCell ref="O16:T16"/>
    <mergeCell ref="A25:M25"/>
    <mergeCell ref="O2:T2"/>
    <mergeCell ref="O4:P4"/>
    <mergeCell ref="Q4:R4"/>
    <mergeCell ref="S4:T4"/>
    <mergeCell ref="A5:M5"/>
    <mergeCell ref="A7:M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PQCU</vt:lpstr>
      <vt:lpstr>PCCU</vt:lpstr>
      <vt:lpstr>Cronograma Descritivo</vt:lpstr>
      <vt:lpstr>Cronograma 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2018-11-13T19:15:55Z</dcterms:modified>
</cp:coreProperties>
</file>